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192.168.123.252\server2\03 - 願書\"/>
    </mc:Choice>
  </mc:AlternateContent>
  <xr:revisionPtr revIDLastSave="0" documentId="13_ncr:1_{DE8AC2A3-FFD5-4056-B741-B37503613929}" xr6:coauthVersionLast="47" xr6:coauthVersionMax="47" xr10:uidLastSave="{00000000-0000-0000-0000-000000000000}"/>
  <workbookProtection workbookAlgorithmName="SHA-512" workbookHashValue="X/ULEazsAkgZuNc8mXcp5yVvh5Dm+vDh+uJynlIcz/1eeWGNeZW3E2H/iTGEJ4HfPS+hL+tBjczgiLhyIPvZ/Q==" workbookSaltValue="NA8tNwfuJCBfk0B3yZN1Gg==" workbookSpinCount="100000" lockStructure="1"/>
  <bookViews>
    <workbookView xWindow="-28920" yWindow="-120" windowWidth="29040" windowHeight="15720" tabRatio="606" xr2:uid="{00000000-000D-0000-FFFF-FFFF00000000}"/>
  </bookViews>
  <sheets>
    <sheet name="Information" sheetId="8" r:id="rId1"/>
    <sheet name="FORM" sheetId="1" r:id="rId2"/>
    <sheet name="DATA" sheetId="4" state="hidden" r:id="rId3"/>
    <sheet name="FORMULAS" sheetId="9" state="hidden" r:id="rId4"/>
  </sheets>
  <definedNames>
    <definedName name="_xlnm._FilterDatabase" localSheetId="1" hidden="1">FORMULAS!$E$31:$K$31</definedName>
    <definedName name="AGES">FORMULAS!$C$44:$C$52</definedName>
    <definedName name="AGES2">FORMULAS!$C$31:$C$39</definedName>
    <definedName name="APNATION">Information!$AC$2</definedName>
    <definedName name="APPLICANTGENDER">DATA!$G$3:$I$12</definedName>
    <definedName name="APPLICANTGENDERSELECT">Information!$AW$6</definedName>
    <definedName name="CHOICE">DATA!$F$3:$F$4</definedName>
    <definedName name="COUNTRYCN">DATA!$F$58:$F$61</definedName>
    <definedName name="COUNTRYEN">DATA!$F$62:$F$177</definedName>
    <definedName name="COUNTRYJP">DATA!$G$57:$G$179</definedName>
    <definedName name="COUNTRYKR">DATA!$F$178</definedName>
    <definedName name="COUNTRYVN">DATA!$F$57</definedName>
    <definedName name="DAYS">DATA!$M$2:$M$32</definedName>
    <definedName name="ENGLISHTR">Information!$AT$64:$AT$65</definedName>
    <definedName name="EXPENSEINFO">DATA!$O$72:$AF$76</definedName>
    <definedName name="FAMCHANGE">DATA!$J$207:$K$288</definedName>
    <definedName name="FAMILY10ADDRESS1">Information!$Z$91</definedName>
    <definedName name="FAMILY10ADDRESS2">Information!$Z$92</definedName>
    <definedName name="FAMILY10AGE">FORMULAS!$C$22</definedName>
    <definedName name="FAMILY10DOB">Information!$N$91</definedName>
    <definedName name="FAMILY10JOB">Information!$R$91</definedName>
    <definedName name="FAMILY10NAME">Information!$D$91</definedName>
    <definedName name="FAMILY10RELATIONSHIP">Information!$A$91</definedName>
    <definedName name="FAMILY1GENDER">FORMULAS!$E$4</definedName>
    <definedName name="FAMILY1LIVING">Information!$AU$66</definedName>
    <definedName name="FAMILY1NAME">Information!$D$75</definedName>
    <definedName name="FAMILY1RELATIONSHIP">Information!$A$75</definedName>
    <definedName name="FAMILY2">DATA!$F$294:$F$294</definedName>
    <definedName name="FAMILY2ADDRESS1">Information!$Z$77</definedName>
    <definedName name="FAMILY2ADDRESS2">Information!$Z$78</definedName>
    <definedName name="FAMILY2AGE">FORMULAS!$C$6</definedName>
    <definedName name="FAMILY2DOB">Information!$N$77</definedName>
    <definedName name="FAMILY2GENDER">FORMULAS!$E$6</definedName>
    <definedName name="FAMILY2JOB">Information!$R$77</definedName>
    <definedName name="FAMILY2LIVING">Information!$AZ$77</definedName>
    <definedName name="FAMILY2NAME">Information!$D$77</definedName>
    <definedName name="FAMILY2RELATIONSHIP">Information!$A$77</definedName>
    <definedName name="FAMILY3ADDRESS1">Information!#REF!</definedName>
    <definedName name="FAMILY3ADDRESS2">Information!#REF!</definedName>
    <definedName name="FAMILY3AGE">FORMULAS!$C$8</definedName>
    <definedName name="FAMILY3DOB">Information!#REF!</definedName>
    <definedName name="FAMILY3GENDER">Information!#REF!</definedName>
    <definedName name="FAMILY3JOB">Information!#REF!</definedName>
    <definedName name="FAMILY3LIVING">Information!#REF!</definedName>
    <definedName name="FAMILY3NAME">Information!#REF!</definedName>
    <definedName name="FAMILY3RELATIONSHIP">Information!#REF!</definedName>
    <definedName name="FAMILY4">DATA!$F$296:$G$296</definedName>
    <definedName name="FAMILY4ADDRESS1">Information!$Z$79</definedName>
    <definedName name="FAMILY4ADDRESS2">Information!$Z$80</definedName>
    <definedName name="FAMILY4AGE">FORMULAS!$C$10</definedName>
    <definedName name="FAMILY4DOB">Information!$N$79</definedName>
    <definedName name="FAMILY4GENDER">FORMULAS!$E$10</definedName>
    <definedName name="FAMILY4JOB">Information!$R$79</definedName>
    <definedName name="FAMILY4LIVING">Information!$AZ$79</definedName>
    <definedName name="FAMILY4NAME">Information!$D$79</definedName>
    <definedName name="FAMILY4RELATIONSHIP">Information!$A$79</definedName>
    <definedName name="FAMILY5ADDRESS1">Information!$Z$81</definedName>
    <definedName name="FAMILY5ADDRESS2">Information!$Z$82</definedName>
    <definedName name="FAMILY5AGE">FORMULAS!$C$12</definedName>
    <definedName name="FAMILY5DOB">Information!$N$81</definedName>
    <definedName name="FAMILY5GENDER">FORMULAS!$E$12</definedName>
    <definedName name="FAMILY5JOB">Information!$R$81</definedName>
    <definedName name="FAMILY5LIVING">Information!$AZ$81</definedName>
    <definedName name="FAMILY5NAME">Information!$D$81</definedName>
    <definedName name="FAMILY5RELATIONSHIP">Information!$A$81</definedName>
    <definedName name="FAMILY6">DATA!$U$82:$V$164</definedName>
    <definedName name="FAMILY6ADDRESS1">Information!$Z$83</definedName>
    <definedName name="FAMILY6ADDRESS2">Information!$Z$84</definedName>
    <definedName name="FAMILY6AGE">FORMULAS!$C$14</definedName>
    <definedName name="FAMILY6DOB">Information!$N$83</definedName>
    <definedName name="FAMILY6GENDER">FORMULAS!$E$14</definedName>
    <definedName name="FAMILY6JOB">Information!$R$83</definedName>
    <definedName name="FAMILY6LIVING">Information!$AZ$83</definedName>
    <definedName name="FAMILY6NAME">Information!$D$83</definedName>
    <definedName name="FAMILY6RELATIONSHIP">Information!$A$83</definedName>
    <definedName name="FAMILY7ADDRESS1">Information!$Z$85</definedName>
    <definedName name="FAMILY7ADDRESS2">Information!$Z$86</definedName>
    <definedName name="FAMILY7AGE">FORMULAS!$C$16</definedName>
    <definedName name="FAMILY7DOB">Information!$N$85</definedName>
    <definedName name="FAMILY7GENDER">FORMULAS!$E$16</definedName>
    <definedName name="FAMILY7JOB">Information!$R$85</definedName>
    <definedName name="FAMILY7LIVING">Information!$AZ$85</definedName>
    <definedName name="FAMILY7NAME">Information!$D$85</definedName>
    <definedName name="FAMILY7RELATIONSHIP">Information!$A$85</definedName>
    <definedName name="FAMILY8ADDRESS1">Information!$Z$87</definedName>
    <definedName name="FAMILY8ADDRESS2">Information!$Z$88</definedName>
    <definedName name="FAMILY8AGE">FORMULAS!$C$18</definedName>
    <definedName name="FAMILY8DOB">Information!$N$87</definedName>
    <definedName name="FAMILY8GENDER">FORMULAS!$E$18</definedName>
    <definedName name="FAMILY8JOB">Information!$R$87</definedName>
    <definedName name="FAMILY8LIVING">Information!$AZ$87</definedName>
    <definedName name="FAMILY8NAME">Information!$D$87</definedName>
    <definedName name="FAMILY8RELATIONSHIP">Information!$A$87</definedName>
    <definedName name="FAMILY9ADDRESS1">Information!$Z$89</definedName>
    <definedName name="FAMILY9ADDRESS2">Information!$Z$90</definedName>
    <definedName name="FAMILY9AGE">FORMULAS!$C$20</definedName>
    <definedName name="FAMILY9DOB">Information!$N$89</definedName>
    <definedName name="FAMILY9JOB">Information!$R$89</definedName>
    <definedName name="FAMILY9NAME">Information!$D$89</definedName>
    <definedName name="FAMILY9RELATIONSHIP">Information!$A$89</definedName>
    <definedName name="FAMILYCN">DATA!$F$223:$F$234</definedName>
    <definedName name="FAMILYCONVERSION">DATA!$F$207:$H$270</definedName>
    <definedName name="FAMILYDATA">FORMULAS!$B$44:$S$52</definedName>
    <definedName name="FAMILYDATA2">FORMULAS!$B$31:$R$40</definedName>
    <definedName name="FAMILYEN">DATA!$F$235:$F$248</definedName>
    <definedName name="FAMILYINFO">DATA!$S$15:$U$19</definedName>
    <definedName name="FAMILYJP">DATA!$F$259:$F$270</definedName>
    <definedName name="FAMILYKR">DATA!$F$249:$F$258</definedName>
    <definedName name="FAMILYMATCH">DATA!$B$207:$B$288</definedName>
    <definedName name="FAMILYSHORT">DATA!$I$235:$I$248</definedName>
    <definedName name="FAMILYTR">DATA!$B$8:$C$12</definedName>
    <definedName name="FAMILYTRANSLATION">DATA!$C$207:$C$288</definedName>
    <definedName name="FAMILYVN">DATA!$F$207:$F$222</definedName>
    <definedName name="FIRSTSCHOOL">DATA!$O$93:$P$97</definedName>
    <definedName name="FORMGENDER">DATA!$O$81:$P$90</definedName>
    <definedName name="FORMINFO">DATA!$O$57:$CU$61</definedName>
    <definedName name="GENDERCN">DATA!$F$294:$F$295</definedName>
    <definedName name="GENDEREN">DATA!$F$296:$F$297</definedName>
    <definedName name="GENDERJP">DATA!$F$302:$F$303</definedName>
    <definedName name="GENDERKR">DATA!$F$300:$F$301</definedName>
    <definedName name="GENDERTR">DATA!$B$43:$C$47</definedName>
    <definedName name="GENDERTRANSLATION">DATA!$F$292:$G$303</definedName>
    <definedName name="GENDERVN">DATA!$F$292:$F$293</definedName>
    <definedName name="JAPANESEVISASTATUS">Information!$AW$7</definedName>
    <definedName name="JOBSCN">DATA!$B$512:$B$543</definedName>
    <definedName name="JOBSEN">DATA!$B$544:$B$575</definedName>
    <definedName name="JOBSINDEX">DATA!$C$492:$C$637</definedName>
    <definedName name="JOBSJP">DATA!$B$607:$B$637</definedName>
    <definedName name="JOBSKR">DATA!$B$576:$B$606</definedName>
    <definedName name="JOBSMATCH">DATA!$B$492:$B$637</definedName>
    <definedName name="JOBSTR">DATA!$B$33:$C$37</definedName>
    <definedName name="JOBSVN">DATA!$B$492:$B$511</definedName>
    <definedName name="LANGUAGE">DATA!$O$8:$O$12</definedName>
    <definedName name="MAJORS2">DATA!$B$325:$C$392</definedName>
    <definedName name="MAJORSCN">DATA!$B$325:$B$392</definedName>
    <definedName name="MAJORSEN">DATA!$B$393:$B$426</definedName>
    <definedName name="MAJORSJP">DATA!$B$458:$B$488</definedName>
    <definedName name="MAJORSKR">DATA!$B$427:$B$457</definedName>
    <definedName name="MAJORSTR">DATA!$B$28:$C$32</definedName>
    <definedName name="MAJORSTRANSLATION">DATA!$B$292:$C$488</definedName>
    <definedName name="MAJORSVN">DATA!$B$292:$B$324</definedName>
    <definedName name="MARITALSTATUS">Information!$AB$5</definedName>
    <definedName name="MONTHS">DATA!$L$2:$L$13</definedName>
    <definedName name="NAMETR">DATA!$O$50:$S$54</definedName>
    <definedName name="NATIONALITY">DATA!$C$1:$C$1</definedName>
    <definedName name="NATIONINFO">Information!$AB$4</definedName>
    <definedName name="NATIONS">DATA!$F$57:$I$179</definedName>
    <definedName name="PASSPORTNUMBER">Information!$F$12</definedName>
    <definedName name="PASSPORTYEARS">DATA!$J$2:$J$32</definedName>
    <definedName name="PLANCN">DATA!$B$669:$B$671</definedName>
    <definedName name="PLANEN">DATA!$B$672:$B$676</definedName>
    <definedName name="PLANJP">DATA!$B$680:$B$682</definedName>
    <definedName name="PLANKR">DATA!$B$677:$B$679</definedName>
    <definedName name="PLANTR">DATA!$B$48:$C$52</definedName>
    <definedName name="PLANTRANSLATION">DATA!$B$666:$C$682</definedName>
    <definedName name="PLANVN">DATA!$B$666:$B$668</definedName>
    <definedName name="PREFIXADDRESS">DATA!$B$110:$C$119</definedName>
    <definedName name="_xlnm.Print_Area" localSheetId="1">FORM!$A$1:$AQ$257</definedName>
    <definedName name="_xlnm.Print_Area" localSheetId="0">Information!$A$1:$AQ$100</definedName>
    <definedName name="REASONCN">DATA!$B$645:$B$648</definedName>
    <definedName name="REASONEN">DATA!$B$649:$B$654</definedName>
    <definedName name="REASONINFO">DATA!$V$15:$Z$19</definedName>
    <definedName name="REASONJP">DATA!$B$659:$B$662</definedName>
    <definedName name="REASONKR">DATA!$B$655:$B$658</definedName>
    <definedName name="REASONTR">DATA!$B$63:$C$67</definedName>
    <definedName name="REASONTRANSLATION">DATA!$B$641:$C$662</definedName>
    <definedName name="REASONVN">DATA!$B$641:$B$644</definedName>
    <definedName name="RELATIVEINFO">DATA!$O$36:$W$40</definedName>
    <definedName name="RESUMEINFO">DATA!$O$64:$AH$68</definedName>
    <definedName name="SCHOOLADDRESS">Information!$B$99</definedName>
    <definedName name="SCHOOLCN">DATA!$B$129:$B$136</definedName>
    <definedName name="SCHOOLEN">DATA!$B$137:$B$143</definedName>
    <definedName name="SCHOOLINFO">DATA!$O$22:$AJ$26</definedName>
    <definedName name="SCHOOLJP">DATA!$B$149:$B$155</definedName>
    <definedName name="SCHOOLKR">DATA!$B$144:$B$148</definedName>
    <definedName name="SCHOOLNAME">Information!$B$97</definedName>
    <definedName name="SCHOOLNAMEEN">Information!$B$98</definedName>
    <definedName name="SCHOOLPHONE">Information!$B$100</definedName>
    <definedName name="SCHOOLTR">DATA!$B$38:$C$42</definedName>
    <definedName name="SCHOOLTRANSLATION">DATA!$B$123:$C$156</definedName>
    <definedName name="SCHOOLVN">DATA!$B$123:$B$128</definedName>
    <definedName name="SPONSORADDRESS1">Information!$L$66</definedName>
    <definedName name="SPONSORADDRESS2">Information!$L$67</definedName>
    <definedName name="SPONSORAGE">FORMULAS!$C$4</definedName>
    <definedName name="SPONSORCN">DATA!$B$688:$B$689</definedName>
    <definedName name="SPONSORCONVERSION">DATA!$O$107:$P$118</definedName>
    <definedName name="SPONSORCOUNTRY">Information!$H$65</definedName>
    <definedName name="SPONSORDOB">Information!$AH$65</definedName>
    <definedName name="SPONSOREN">DATA!$B$693:$B$700</definedName>
    <definedName name="SPONSORHOME">Information!$W$65</definedName>
    <definedName name="SPONSORINCOME">Information!$AE$72</definedName>
    <definedName name="SPONSORINFO">DATA!$O$43:$Z$47</definedName>
    <definedName name="SPONSORJOB">Information!$H$72</definedName>
    <definedName name="SPONSORJP">DATA!$B$703:$B$704</definedName>
    <definedName name="SPONSORKR">DATA!$B$701:$B$702</definedName>
    <definedName name="SPONSORNAME">Information!$H$64</definedName>
    <definedName name="SPONSORPHONE1">Information!$K$68</definedName>
    <definedName name="SPONSORPHONE2">Information!$AE$68</definedName>
    <definedName name="SPONSORRELATIONSHIP">Information!$AH$64</definedName>
    <definedName name="SPONSORTR">DATA!$B$13:$C$17</definedName>
    <definedName name="SPONSORTRANSLATION">DATA!$B$686:$E$704</definedName>
    <definedName name="SPONSORVN">DATA!$B$686:$B$687</definedName>
    <definedName name="SPONSORWORKPHONE">Information!$AE$71</definedName>
    <definedName name="STATUSCN">DATA!$F$192:$F$194</definedName>
    <definedName name="STATUSEN">DATA!$F$195:$F$197</definedName>
    <definedName name="STATUSJP">DATA!$F$201:$F$203</definedName>
    <definedName name="STATUSKR">DATA!$F$198:$F$200</definedName>
    <definedName name="STATUSTR">DATA!$B$53:$C$57</definedName>
    <definedName name="STATUSTRANSLATION">DATA!$F$189:$G$203</definedName>
    <definedName name="STATUSVN">DATA!$F$189:$F$191</definedName>
    <definedName name="STUDENTADDRESS1">Information!$J$9</definedName>
    <definedName name="STUDENTADDRESS2">Information!$J$10</definedName>
    <definedName name="STUDENTAGE">Information!$AU$13</definedName>
    <definedName name="STUDENTBIRTHPLACE">Information!$F$8</definedName>
    <definedName name="STUDENTDOB">Information!$F$7</definedName>
    <definedName name="STUDENTGENDER">Information!$AU$12</definedName>
    <definedName name="STUDENTINFO">DATA!$O$8:$AV$12</definedName>
    <definedName name="STUDENTNAME">FORM!$V$72</definedName>
    <definedName name="STUDENTNAMECH">Information!$F$4</definedName>
    <definedName name="STUDENTNAMEEN">Information!$F$5</definedName>
    <definedName name="SUPPORTREASON1">DATA!$P$77</definedName>
    <definedName name="SUPPORTREASON2">DATA!$Q$77</definedName>
    <definedName name="TESTS">DATA!$F$5:$F$10</definedName>
    <definedName name="TESTSCN">DATA!$F$26:$F$28</definedName>
    <definedName name="TESTSEN">DATA!$F$29:$F$31</definedName>
    <definedName name="TESTSJP">DATA!$F$35:$F$37</definedName>
    <definedName name="TESTSKR">DATA!$F$32:$F$34</definedName>
    <definedName name="TESTSTR">DATA!$B$58:$C$62</definedName>
    <definedName name="TESTSVN">DATA!$F$23:$F$25</definedName>
    <definedName name="TRANSLATION">DATA!$B$23:$C$27</definedName>
    <definedName name="VARIABLES">DATA!$O$15:$R$19</definedName>
    <definedName name="VISACN">DATA!$B$170:$B$175</definedName>
    <definedName name="VISAEN">DATA!$B$176:$B$185</definedName>
    <definedName name="VISAJP">DATA!$B$195:$B$203</definedName>
    <definedName name="VISAKR">DATA!$B$186:$B$194</definedName>
    <definedName name="VISATR">DATA!$B$18:$C$22</definedName>
    <definedName name="VISATRANSLATION">DATA!$B$160:$C$203</definedName>
    <definedName name="VISAVN">DATA!$B$160:$B$169</definedName>
    <definedName name="WORKINFO">DATA!$O$29:$U$33</definedName>
    <definedName name="YEARS">DATA!$K$2:$K$42</definedName>
    <definedName name="YEARS2">DATA!$K$31:$K$91</definedName>
    <definedName name="YEARS3">DATA!$K$2:$K$91</definedName>
    <definedName name="YESNOCHANGE">DATA!$F$273:$H$277</definedName>
    <definedName name="YESNOCN">DATA!$B$73:$B$74</definedName>
    <definedName name="YESNOCONVERSION">DATA!$G$13:$I$22</definedName>
    <definedName name="YESNOEN">DATA!$B$75:$B$76</definedName>
    <definedName name="YESNOJP">DATA!$B$79:$B$80</definedName>
    <definedName name="YESNOKR">DATA!$B$77:$B$78</definedName>
    <definedName name="YESNOTR">DATA!$B$3:$C$7</definedName>
    <definedName name="YESNOTRANSLATION">DATA!$B$71:$C$80</definedName>
    <definedName name="YESNOVN">DATA!$B$71:$B$72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27" i="8" l="1"/>
  <c r="BD28" i="8"/>
  <c r="BD29" i="8"/>
  <c r="BD30" i="8"/>
  <c r="BD31" i="8"/>
  <c r="BD26" i="8"/>
  <c r="B100" i="8"/>
  <c r="B99" i="8"/>
  <c r="B122" i="1" s="1"/>
  <c r="B98" i="8"/>
  <c r="AL102" i="1"/>
  <c r="AL100" i="1"/>
  <c r="Q77" i="4"/>
  <c r="O104" i="4"/>
  <c r="O103" i="4"/>
  <c r="O102" i="4"/>
  <c r="O101" i="4"/>
  <c r="O100" i="4"/>
  <c r="C61" i="9"/>
  <c r="D61" i="9" s="1"/>
  <c r="N138" i="1" s="1"/>
  <c r="C60" i="9"/>
  <c r="D60" i="9" s="1"/>
  <c r="A138" i="1" s="1"/>
  <c r="C59" i="9"/>
  <c r="D59" i="9" s="1"/>
  <c r="A135" i="1" s="1"/>
  <c r="T53" i="9"/>
  <c r="U53" i="9" s="1"/>
  <c r="L53" i="9"/>
  <c r="P52" i="9"/>
  <c r="O52" i="9"/>
  <c r="I52" i="9"/>
  <c r="Q52" i="9" s="1"/>
  <c r="G52" i="9"/>
  <c r="J52" i="9" s="1"/>
  <c r="F52" i="9"/>
  <c r="T52" i="9" s="1"/>
  <c r="U52" i="9" s="1"/>
  <c r="E52" i="9"/>
  <c r="L52" i="9" s="1"/>
  <c r="D52" i="9"/>
  <c r="P51" i="9"/>
  <c r="O51" i="9"/>
  <c r="I51" i="9"/>
  <c r="Q51" i="9" s="1"/>
  <c r="G51" i="9"/>
  <c r="R51" i="9" s="1"/>
  <c r="F51" i="9"/>
  <c r="T51" i="9" s="1"/>
  <c r="U51" i="9" s="1"/>
  <c r="E51" i="9"/>
  <c r="L51" i="9" s="1"/>
  <c r="D51" i="9"/>
  <c r="P50" i="9"/>
  <c r="O50" i="9"/>
  <c r="J50" i="9"/>
  <c r="I50" i="9"/>
  <c r="Q50" i="9" s="1"/>
  <c r="G50" i="9"/>
  <c r="R50" i="9" s="1"/>
  <c r="F50" i="9"/>
  <c r="T50" i="9" s="1"/>
  <c r="U50" i="9" s="1"/>
  <c r="E50" i="9"/>
  <c r="L50" i="9" s="1"/>
  <c r="D50" i="9"/>
  <c r="P49" i="9"/>
  <c r="O49" i="9"/>
  <c r="I49" i="9"/>
  <c r="Q49" i="9" s="1"/>
  <c r="G49" i="9"/>
  <c r="J49" i="9" s="1"/>
  <c r="F49" i="9"/>
  <c r="T49" i="9" s="1"/>
  <c r="U49" i="9" s="1"/>
  <c r="E49" i="9"/>
  <c r="L49" i="9" s="1"/>
  <c r="D49" i="9"/>
  <c r="P48" i="9"/>
  <c r="O48" i="9"/>
  <c r="J48" i="9"/>
  <c r="I48" i="9"/>
  <c r="Q48" i="9" s="1"/>
  <c r="G48" i="9"/>
  <c r="R48" i="9" s="1"/>
  <c r="F48" i="9"/>
  <c r="T48" i="9" s="1"/>
  <c r="U48" i="9" s="1"/>
  <c r="E48" i="9"/>
  <c r="L48" i="9" s="1"/>
  <c r="D48" i="9"/>
  <c r="P47" i="9"/>
  <c r="O47" i="9"/>
  <c r="I47" i="9"/>
  <c r="Q47" i="9" s="1"/>
  <c r="G47" i="9"/>
  <c r="R47" i="9" s="1"/>
  <c r="F47" i="9"/>
  <c r="T47" i="9" s="1"/>
  <c r="U47" i="9" s="1"/>
  <c r="E47" i="9"/>
  <c r="L47" i="9" s="1"/>
  <c r="D47" i="9"/>
  <c r="P46" i="9"/>
  <c r="O46" i="9"/>
  <c r="J46" i="9"/>
  <c r="I46" i="9"/>
  <c r="Q46" i="9" s="1"/>
  <c r="G46" i="9"/>
  <c r="R46" i="9" s="1"/>
  <c r="F46" i="9"/>
  <c r="T46" i="9" s="1"/>
  <c r="U46" i="9" s="1"/>
  <c r="E46" i="9"/>
  <c r="L46" i="9" s="1"/>
  <c r="D46" i="9"/>
  <c r="P45" i="9"/>
  <c r="O45" i="9"/>
  <c r="G45" i="9"/>
  <c r="J45" i="9" s="1"/>
  <c r="F45" i="9"/>
  <c r="T45" i="9" s="1"/>
  <c r="U45" i="9" s="1"/>
  <c r="D45" i="9"/>
  <c r="Q44" i="9"/>
  <c r="P44" i="9"/>
  <c r="G44" i="9"/>
  <c r="J44" i="9" s="1"/>
  <c r="F44" i="9"/>
  <c r="T44" i="9" s="1"/>
  <c r="U44" i="9" s="1"/>
  <c r="AN40" i="9"/>
  <c r="AO40" i="9" s="1"/>
  <c r="T40" i="9"/>
  <c r="U40" i="9" s="1"/>
  <c r="P39" i="9"/>
  <c r="O39" i="9"/>
  <c r="I39" i="9"/>
  <c r="Q39" i="9" s="1"/>
  <c r="G39" i="9"/>
  <c r="R39" i="9" s="1"/>
  <c r="F39" i="9"/>
  <c r="T39" i="9" s="1"/>
  <c r="U39" i="9" s="1"/>
  <c r="E39" i="9"/>
  <c r="L39" i="9" s="1"/>
  <c r="D39" i="9"/>
  <c r="P38" i="9"/>
  <c r="O38" i="9"/>
  <c r="I38" i="9"/>
  <c r="Q38" i="9" s="1"/>
  <c r="G38" i="9"/>
  <c r="J38" i="9" s="1"/>
  <c r="F38" i="9"/>
  <c r="T38" i="9" s="1"/>
  <c r="U38" i="9" s="1"/>
  <c r="E38" i="9"/>
  <c r="L38" i="9" s="1"/>
  <c r="D38" i="9"/>
  <c r="P37" i="9"/>
  <c r="O37" i="9"/>
  <c r="I37" i="9"/>
  <c r="Q37" i="9" s="1"/>
  <c r="G37" i="9"/>
  <c r="F37" i="9"/>
  <c r="T37" i="9" s="1"/>
  <c r="U37" i="9" s="1"/>
  <c r="E37" i="9"/>
  <c r="L37" i="9" s="1"/>
  <c r="D37" i="9"/>
  <c r="T36" i="9"/>
  <c r="U36" i="9" s="1"/>
  <c r="P36" i="9"/>
  <c r="O36" i="9"/>
  <c r="I36" i="9"/>
  <c r="Q36" i="9" s="1"/>
  <c r="G36" i="9"/>
  <c r="R36" i="9" s="1"/>
  <c r="F36" i="9"/>
  <c r="E36" i="9"/>
  <c r="L36" i="9" s="1"/>
  <c r="D36" i="9"/>
  <c r="Q35" i="9"/>
  <c r="P35" i="9"/>
  <c r="O35" i="9"/>
  <c r="I35" i="9"/>
  <c r="G35" i="9"/>
  <c r="R35" i="9" s="1"/>
  <c r="F35" i="9"/>
  <c r="T35" i="9" s="1"/>
  <c r="U35" i="9" s="1"/>
  <c r="E35" i="9"/>
  <c r="L35" i="9" s="1"/>
  <c r="D35" i="9"/>
  <c r="P34" i="9"/>
  <c r="O34" i="9"/>
  <c r="I34" i="9"/>
  <c r="Q34" i="9" s="1"/>
  <c r="G34" i="9"/>
  <c r="R34" i="9" s="1"/>
  <c r="F34" i="9"/>
  <c r="T34" i="9" s="1"/>
  <c r="U34" i="9" s="1"/>
  <c r="E34" i="9"/>
  <c r="L34" i="9" s="1"/>
  <c r="D34" i="9"/>
  <c r="P33" i="9"/>
  <c r="O33" i="9"/>
  <c r="I33" i="9"/>
  <c r="Q33" i="9" s="1"/>
  <c r="G33" i="9"/>
  <c r="F33" i="9"/>
  <c r="T33" i="9" s="1"/>
  <c r="U33" i="9" s="1"/>
  <c r="E33" i="9"/>
  <c r="L33" i="9" s="1"/>
  <c r="D33" i="9"/>
  <c r="R32" i="9"/>
  <c r="P32" i="9"/>
  <c r="O32" i="9"/>
  <c r="G32" i="9"/>
  <c r="J32" i="9" s="1"/>
  <c r="F32" i="9"/>
  <c r="T32" i="9" s="1"/>
  <c r="U32" i="9" s="1"/>
  <c r="D32" i="9"/>
  <c r="P31" i="9"/>
  <c r="O31" i="9"/>
  <c r="J31" i="9"/>
  <c r="I31" i="9"/>
  <c r="Q31" i="9" s="1"/>
  <c r="G31" i="9"/>
  <c r="R31" i="9" s="1"/>
  <c r="F31" i="9"/>
  <c r="T31" i="9" s="1"/>
  <c r="U31" i="9" s="1"/>
  <c r="E31" i="9"/>
  <c r="L31" i="9" s="1"/>
  <c r="D31" i="9"/>
  <c r="E23" i="9"/>
  <c r="E22" i="9"/>
  <c r="C22" i="9"/>
  <c r="E21" i="9"/>
  <c r="E20" i="9"/>
  <c r="C20" i="9"/>
  <c r="E19" i="9"/>
  <c r="E18" i="9"/>
  <c r="C18" i="9"/>
  <c r="C50" i="9" s="1"/>
  <c r="E17" i="9"/>
  <c r="E16" i="9"/>
  <c r="C16" i="9"/>
  <c r="C49" i="9" s="1"/>
  <c r="E15" i="9"/>
  <c r="E14" i="9"/>
  <c r="C14" i="9"/>
  <c r="C48" i="9" s="1"/>
  <c r="P13" i="9"/>
  <c r="O13" i="9"/>
  <c r="N13" i="9"/>
  <c r="M13" i="9"/>
  <c r="J13" i="9"/>
  <c r="I13" i="9"/>
  <c r="E13" i="9"/>
  <c r="P12" i="9"/>
  <c r="O12" i="9"/>
  <c r="N12" i="9"/>
  <c r="M12" i="9"/>
  <c r="Q12" i="9" s="1"/>
  <c r="Y12" i="9" s="1"/>
  <c r="J12" i="9"/>
  <c r="I12" i="9"/>
  <c r="K12" i="9" s="1"/>
  <c r="E12" i="9"/>
  <c r="C12" i="9"/>
  <c r="C47" i="9" s="1"/>
  <c r="P11" i="9"/>
  <c r="O11" i="9"/>
  <c r="N11" i="9"/>
  <c r="M11" i="9"/>
  <c r="J11" i="9"/>
  <c r="I11" i="9"/>
  <c r="K11" i="9" s="1"/>
  <c r="H37" i="9" s="1"/>
  <c r="E11" i="9"/>
  <c r="P10" i="9"/>
  <c r="O10" i="9"/>
  <c r="N10" i="9"/>
  <c r="M10" i="9"/>
  <c r="J10" i="9"/>
  <c r="I10" i="9"/>
  <c r="E10" i="9"/>
  <c r="C10" i="9"/>
  <c r="C46" i="9" s="1"/>
  <c r="P9" i="9"/>
  <c r="O9" i="9"/>
  <c r="N9" i="9"/>
  <c r="M9" i="9"/>
  <c r="J9" i="9"/>
  <c r="I9" i="9"/>
  <c r="P8" i="9"/>
  <c r="O8" i="9"/>
  <c r="N8" i="9"/>
  <c r="Q8" i="9" s="1"/>
  <c r="Z8" i="9" s="1"/>
  <c r="M8" i="9"/>
  <c r="J8" i="9"/>
  <c r="I8" i="9"/>
  <c r="K8" i="9" s="1"/>
  <c r="C8" i="9"/>
  <c r="P7" i="9"/>
  <c r="O7" i="9"/>
  <c r="N7" i="9"/>
  <c r="M7" i="9"/>
  <c r="J7" i="9"/>
  <c r="I7" i="9"/>
  <c r="K7" i="9" s="1"/>
  <c r="P6" i="9"/>
  <c r="O6" i="9"/>
  <c r="N6" i="9"/>
  <c r="M6" i="9"/>
  <c r="J6" i="9"/>
  <c r="I6" i="9"/>
  <c r="C6" i="9"/>
  <c r="C45" i="9" s="1"/>
  <c r="Q5" i="9"/>
  <c r="T5" i="9" s="1"/>
  <c r="J5" i="9"/>
  <c r="I5" i="9"/>
  <c r="P4" i="9"/>
  <c r="O4" i="9"/>
  <c r="N4" i="9"/>
  <c r="M4" i="9"/>
  <c r="J4" i="9"/>
  <c r="I4" i="9"/>
  <c r="K4" i="9" s="1"/>
  <c r="C4" i="9"/>
  <c r="E3" i="9"/>
  <c r="G203" i="4"/>
  <c r="G202" i="4"/>
  <c r="G201" i="4"/>
  <c r="G200" i="4"/>
  <c r="G199" i="4"/>
  <c r="G198" i="4"/>
  <c r="G197" i="4"/>
  <c r="G196" i="4"/>
  <c r="G195" i="4"/>
  <c r="G194" i="4"/>
  <c r="G193" i="4"/>
  <c r="G192"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O97" i="4"/>
  <c r="U96" i="4"/>
  <c r="O96" i="4"/>
  <c r="U95" i="4"/>
  <c r="O95" i="4"/>
  <c r="U94" i="4"/>
  <c r="O94" i="4"/>
  <c r="U93" i="4"/>
  <c r="O93" i="4"/>
  <c r="U92" i="4"/>
  <c r="U91" i="4"/>
  <c r="U90" i="4"/>
  <c r="U89" i="4"/>
  <c r="U88" i="4"/>
  <c r="U87" i="4"/>
  <c r="U86" i="4"/>
  <c r="U85" i="4"/>
  <c r="B78" i="4"/>
  <c r="P77" i="4"/>
  <c r="B77" i="4"/>
  <c r="O76" i="4"/>
  <c r="B76" i="4"/>
  <c r="V75" i="4"/>
  <c r="O75" i="4"/>
  <c r="B75" i="4"/>
  <c r="V74" i="4"/>
  <c r="O74" i="4"/>
  <c r="B74" i="4"/>
  <c r="V73" i="4"/>
  <c r="O73" i="4"/>
  <c r="B73" i="4"/>
  <c r="V72" i="4"/>
  <c r="O72" i="4"/>
  <c r="B72" i="4"/>
  <c r="B71" i="4"/>
  <c r="O68" i="4"/>
  <c r="O67" i="4"/>
  <c r="O66" i="4"/>
  <c r="O65" i="4"/>
  <c r="O64" i="4"/>
  <c r="O61" i="4"/>
  <c r="O60" i="4"/>
  <c r="O59" i="4"/>
  <c r="O58" i="4"/>
  <c r="O57" i="4"/>
  <c r="O54" i="4"/>
  <c r="O53" i="4"/>
  <c r="E704" i="4"/>
  <c r="O52" i="4"/>
  <c r="E703" i="4"/>
  <c r="O51" i="4"/>
  <c r="E702" i="4"/>
  <c r="O50" i="4"/>
  <c r="E701" i="4"/>
  <c r="O47" i="4"/>
  <c r="O46" i="4"/>
  <c r="O45" i="4"/>
  <c r="O44" i="4"/>
  <c r="O43" i="4"/>
  <c r="O40" i="4"/>
  <c r="O39" i="4"/>
  <c r="O38" i="4"/>
  <c r="O37" i="4"/>
  <c r="O36" i="4"/>
  <c r="O33" i="4"/>
  <c r="O32" i="4"/>
  <c r="O31" i="4"/>
  <c r="O30" i="4"/>
  <c r="O29" i="4"/>
  <c r="O26" i="4"/>
  <c r="O25" i="4"/>
  <c r="O24" i="4"/>
  <c r="O23" i="4"/>
  <c r="O22" i="4"/>
  <c r="V19" i="4"/>
  <c r="S19" i="4"/>
  <c r="O19" i="4"/>
  <c r="V18" i="4"/>
  <c r="S18" i="4"/>
  <c r="O18" i="4"/>
  <c r="V17" i="4"/>
  <c r="S17" i="4"/>
  <c r="O17" i="4"/>
  <c r="V16" i="4"/>
  <c r="S16" i="4"/>
  <c r="O16" i="4"/>
  <c r="V15" i="4"/>
  <c r="S15" i="4"/>
  <c r="O15" i="4"/>
  <c r="AV342" i="1"/>
  <c r="AV341" i="1"/>
  <c r="AI254" i="1"/>
  <c r="B253" i="1"/>
  <c r="AI252" i="1"/>
  <c r="AI251" i="1"/>
  <c r="E194" i="1"/>
  <c r="X192" i="1"/>
  <c r="B182" i="1"/>
  <c r="H179" i="1"/>
  <c r="AL150" i="1"/>
  <c r="P150" i="1"/>
  <c r="AL147" i="1"/>
  <c r="AG147" i="1"/>
  <c r="AL144" i="1"/>
  <c r="AG144" i="1"/>
  <c r="AB136" i="1"/>
  <c r="AB134" i="1"/>
  <c r="A125" i="1"/>
  <c r="B120" i="1"/>
  <c r="AB117" i="1"/>
  <c r="P117" i="1"/>
  <c r="I117" i="1"/>
  <c r="B117" i="1"/>
  <c r="AB116" i="1"/>
  <c r="P116" i="1"/>
  <c r="I116" i="1"/>
  <c r="B116" i="1"/>
  <c r="AB115" i="1"/>
  <c r="P115" i="1"/>
  <c r="I115" i="1"/>
  <c r="B115" i="1"/>
  <c r="AL111" i="1"/>
  <c r="AF111" i="1"/>
  <c r="AL110" i="1"/>
  <c r="AF110" i="1"/>
  <c r="M110" i="1"/>
  <c r="B110" i="1"/>
  <c r="AL109" i="1"/>
  <c r="AF109" i="1"/>
  <c r="M109" i="1"/>
  <c r="B109" i="1"/>
  <c r="AL108" i="1"/>
  <c r="AF108" i="1"/>
  <c r="M108" i="1"/>
  <c r="B108" i="1"/>
  <c r="AL107" i="1"/>
  <c r="AF107" i="1"/>
  <c r="M107" i="1"/>
  <c r="B107" i="1"/>
  <c r="AF102" i="1"/>
  <c r="M102" i="1"/>
  <c r="B102" i="1"/>
  <c r="AF100" i="1"/>
  <c r="M100" i="1"/>
  <c r="B100" i="1"/>
  <c r="AL98" i="1"/>
  <c r="AF98" i="1"/>
  <c r="M98" i="1"/>
  <c r="B98" i="1"/>
  <c r="AL93" i="1"/>
  <c r="AF93" i="1"/>
  <c r="P93" i="1"/>
  <c r="B93" i="1"/>
  <c r="AL91" i="1"/>
  <c r="AF91" i="1"/>
  <c r="P91" i="1"/>
  <c r="B91" i="1"/>
  <c r="AL89" i="1"/>
  <c r="AF89" i="1"/>
  <c r="P89" i="1"/>
  <c r="B89" i="1"/>
  <c r="AL87" i="1"/>
  <c r="AF87" i="1"/>
  <c r="P87" i="1"/>
  <c r="B87" i="1"/>
  <c r="AL85" i="1"/>
  <c r="AF85" i="1"/>
  <c r="P85" i="1"/>
  <c r="B85" i="1"/>
  <c r="AL83" i="1"/>
  <c r="AF83" i="1"/>
  <c r="P83" i="1"/>
  <c r="W78" i="1"/>
  <c r="AS74" i="1"/>
  <c r="AG19" i="1" s="1"/>
  <c r="V74" i="1"/>
  <c r="F74" i="1"/>
  <c r="AS73" i="1"/>
  <c r="H19" i="1" s="1"/>
  <c r="AS72" i="1"/>
  <c r="F72" i="1" s="1"/>
  <c r="E192" i="1" s="1"/>
  <c r="V72" i="1"/>
  <c r="T67" i="1"/>
  <c r="B64" i="1"/>
  <c r="AJ61" i="1"/>
  <c r="F61" i="1"/>
  <c r="AJ59" i="1"/>
  <c r="W59" i="1"/>
  <c r="F59" i="1"/>
  <c r="W57" i="1"/>
  <c r="F57" i="1"/>
  <c r="AJ55" i="1"/>
  <c r="W55" i="1"/>
  <c r="F55" i="1"/>
  <c r="AJ53" i="1"/>
  <c r="F53" i="1"/>
  <c r="AJ51" i="1"/>
  <c r="W51" i="1"/>
  <c r="F51" i="1"/>
  <c r="W49" i="1"/>
  <c r="F49" i="1"/>
  <c r="AJ47" i="1"/>
  <c r="W47" i="1"/>
  <c r="F47" i="1"/>
  <c r="AJ45" i="1"/>
  <c r="F45" i="1"/>
  <c r="AJ43" i="1"/>
  <c r="W43" i="1"/>
  <c r="F43" i="1"/>
  <c r="W41" i="1"/>
  <c r="F41" i="1"/>
  <c r="AJ39" i="1"/>
  <c r="W39" i="1"/>
  <c r="F39" i="1"/>
  <c r="AO36" i="1"/>
  <c r="AG36" i="1"/>
  <c r="I36" i="1"/>
  <c r="A36" i="1"/>
  <c r="AO34" i="1"/>
  <c r="AG34" i="1"/>
  <c r="I34" i="1"/>
  <c r="A34" i="1"/>
  <c r="AE31" i="1"/>
  <c r="H31" i="1"/>
  <c r="AE29" i="1"/>
  <c r="H29" i="1"/>
  <c r="H27" i="1"/>
  <c r="H25" i="1"/>
  <c r="AB23" i="1"/>
  <c r="Y23" i="1"/>
  <c r="K23" i="1"/>
  <c r="AK249" i="1" s="1"/>
  <c r="AT22" i="1"/>
  <c r="AT21" i="1"/>
  <c r="AG17" i="1"/>
  <c r="H17" i="1"/>
  <c r="B220" i="1" s="1"/>
  <c r="AF14" i="1"/>
  <c r="AE14" i="1"/>
  <c r="Z14" i="1"/>
  <c r="F14" i="1"/>
  <c r="Z12" i="1"/>
  <c r="F12" i="1"/>
  <c r="Z10" i="1"/>
  <c r="F10" i="1"/>
  <c r="AC8" i="1"/>
  <c r="R8" i="1"/>
  <c r="F8" i="1"/>
  <c r="AF6" i="1"/>
  <c r="AN74" i="1" s="1"/>
  <c r="AA6" i="1"/>
  <c r="X194" i="1" s="1"/>
  <c r="F4" i="1"/>
  <c r="A177" i="1" s="1"/>
  <c r="B68" i="1"/>
  <c r="B183" i="1"/>
  <c r="W92" i="8"/>
  <c r="W91" i="8"/>
  <c r="W90" i="8"/>
  <c r="W89" i="8"/>
  <c r="W88" i="8"/>
  <c r="W87" i="8"/>
  <c r="W86" i="8"/>
  <c r="W85" i="8"/>
  <c r="W84" i="8"/>
  <c r="W83" i="8"/>
  <c r="W82" i="8"/>
  <c r="W81" i="8"/>
  <c r="W80" i="8"/>
  <c r="W79" i="8"/>
  <c r="W78" i="8"/>
  <c r="W77" i="8"/>
  <c r="Z76" i="8"/>
  <c r="W76" i="8"/>
  <c r="Z75" i="8"/>
  <c r="W75" i="8"/>
  <c r="R75" i="8"/>
  <c r="N75" i="8"/>
  <c r="D75" i="8"/>
  <c r="A75" i="8"/>
  <c r="A77" i="8" s="1"/>
  <c r="W74" i="8"/>
  <c r="R74" i="8"/>
  <c r="N74" i="8"/>
  <c r="AB72" i="8"/>
  <c r="AB31" i="1" s="1"/>
  <c r="AB71" i="8"/>
  <c r="AB29" i="1" s="1"/>
  <c r="H68" i="8"/>
  <c r="H23" i="1" s="1"/>
  <c r="AI249" i="1" s="1"/>
  <c r="A68" i="8"/>
  <c r="U68" i="8" s="1"/>
  <c r="H67" i="8"/>
  <c r="H66" i="8"/>
  <c r="A66" i="8"/>
  <c r="AB65" i="8"/>
  <c r="A65" i="8"/>
  <c r="AE62" i="8"/>
  <c r="A62" i="8"/>
  <c r="A61" i="8"/>
  <c r="AE59" i="8"/>
  <c r="AE58" i="8"/>
  <c r="A58" i="8"/>
  <c r="A57" i="8"/>
  <c r="AE55" i="8"/>
  <c r="AE54" i="8"/>
  <c r="A54" i="8"/>
  <c r="A53" i="8"/>
  <c r="AE51" i="8"/>
  <c r="AT31" i="8"/>
  <c r="AT30" i="8"/>
  <c r="AT29" i="8"/>
  <c r="AT28" i="8"/>
  <c r="AT27" i="8"/>
  <c r="AT26" i="8"/>
  <c r="BB19" i="8"/>
  <c r="BB18" i="8"/>
  <c r="V18" i="8"/>
  <c r="V22" i="8" s="1"/>
  <c r="I18" i="8"/>
  <c r="I22" i="8" s="1"/>
  <c r="BB17" i="8"/>
  <c r="V17" i="8"/>
  <c r="V21" i="8" s="1"/>
  <c r="I17" i="8"/>
  <c r="I19" i="8" s="1"/>
  <c r="A17" i="8"/>
  <c r="BB16" i="8"/>
  <c r="V16" i="8"/>
  <c r="V15" i="8"/>
  <c r="T15" i="8"/>
  <c r="AW7" i="8" s="1"/>
  <c r="Q15" i="8"/>
  <c r="A15" i="8"/>
  <c r="BB14" i="8"/>
  <c r="T14" i="8"/>
  <c r="Q14" i="8"/>
  <c r="BB13" i="8"/>
  <c r="AU13" i="8"/>
  <c r="C44" i="9" s="1"/>
  <c r="BB12" i="8"/>
  <c r="AG12" i="8"/>
  <c r="V12" i="8"/>
  <c r="A12" i="8"/>
  <c r="BB11" i="8"/>
  <c r="V11" i="8"/>
  <c r="F11" i="8"/>
  <c r="Z8" i="1" s="1"/>
  <c r="A11" i="8"/>
  <c r="BB10" i="8"/>
  <c r="BB9" i="8"/>
  <c r="A9" i="8"/>
  <c r="BB8" i="8"/>
  <c r="V8" i="8"/>
  <c r="A8" i="8"/>
  <c r="BB7" i="8"/>
  <c r="L7" i="8"/>
  <c r="A7" i="8"/>
  <c r="BB6" i="8"/>
  <c r="K6" i="8"/>
  <c r="G6" i="8"/>
  <c r="A6" i="8"/>
  <c r="BB5" i="8"/>
  <c r="AE5" i="8"/>
  <c r="V5" i="8"/>
  <c r="V4" i="8"/>
  <c r="A4" i="8"/>
  <c r="K2" i="8"/>
  <c r="A2" i="8"/>
  <c r="AO14" i="8" l="1"/>
  <c r="B34" i="8"/>
  <c r="J34" i="9"/>
  <c r="J35" i="9"/>
  <c r="J39" i="9"/>
  <c r="R49" i="9"/>
  <c r="R52" i="9"/>
  <c r="R45" i="9"/>
  <c r="V14" i="8"/>
  <c r="A150" i="1"/>
  <c r="K5" i="9"/>
  <c r="K9" i="9"/>
  <c r="AT32" i="8"/>
  <c r="AP32" i="8" s="1"/>
  <c r="U5" i="9"/>
  <c r="AD14" i="8"/>
  <c r="A14" i="8"/>
  <c r="A56" i="8"/>
  <c r="M105" i="1"/>
  <c r="AE61" i="8"/>
  <c r="R150" i="1"/>
  <c r="A28" i="1"/>
  <c r="AM35" i="1"/>
  <c r="C36" i="9"/>
  <c r="AW6" i="8"/>
  <c r="D692" i="4" s="1"/>
  <c r="B67" i="1"/>
  <c r="B184" i="1"/>
  <c r="T8" i="9"/>
  <c r="W5" i="9"/>
  <c r="B123" i="1"/>
  <c r="K6" i="9"/>
  <c r="H45" i="9" s="1"/>
  <c r="R12" i="9"/>
  <c r="C33" i="9"/>
  <c r="C37" i="9"/>
  <c r="Q7" i="9"/>
  <c r="K10" i="9"/>
  <c r="T12" i="9"/>
  <c r="C34" i="9"/>
  <c r="Z12" i="9"/>
  <c r="R5" i="9"/>
  <c r="Q11" i="9"/>
  <c r="U11" i="9" s="1"/>
  <c r="B257" i="1"/>
  <c r="Q4" i="9"/>
  <c r="S5" i="9"/>
  <c r="C35" i="9"/>
  <c r="AJ74" i="1"/>
  <c r="B36" i="9"/>
  <c r="B50" i="9"/>
  <c r="R134" i="1"/>
  <c r="Q57" i="8"/>
  <c r="X254" i="1"/>
  <c r="Q55" i="8"/>
  <c r="Q60" i="8"/>
  <c r="AM37" i="1"/>
  <c r="V40" i="8"/>
  <c r="A39" i="8"/>
  <c r="Q52" i="8"/>
  <c r="L26" i="8"/>
  <c r="B83" i="1" s="1"/>
  <c r="A71" i="8"/>
  <c r="A73" i="8"/>
  <c r="AD25" i="8"/>
  <c r="A32" i="8"/>
  <c r="A40" i="8"/>
  <c r="Q65" i="8"/>
  <c r="F9" i="8"/>
  <c r="AK25" i="8"/>
  <c r="A33" i="8"/>
  <c r="P40" i="8"/>
  <c r="Y37" i="1"/>
  <c r="X36" i="1" s="1"/>
  <c r="A23" i="8"/>
  <c r="L34" i="8"/>
  <c r="AF40" i="8"/>
  <c r="Y35" i="1"/>
  <c r="X34" i="1" s="1"/>
  <c r="A24" i="8"/>
  <c r="AD34" i="8"/>
  <c r="AM40" i="8"/>
  <c r="B25" i="8"/>
  <c r="AK34" i="8"/>
  <c r="L25" i="8"/>
  <c r="A18" i="1"/>
  <c r="A38" i="8"/>
  <c r="Q25" i="8"/>
  <c r="A93" i="8"/>
  <c r="R44" i="9"/>
  <c r="V19" i="8"/>
  <c r="R136" i="1"/>
  <c r="T192" i="1"/>
  <c r="T9" i="1"/>
  <c r="U72" i="8"/>
  <c r="A22" i="1"/>
  <c r="I20" i="8"/>
  <c r="A52" i="1"/>
  <c r="Q58" i="1"/>
  <c r="AO74" i="1"/>
  <c r="A44" i="8"/>
  <c r="AL105" i="1"/>
  <c r="S72" i="1"/>
  <c r="AH144" i="1"/>
  <c r="AN150" i="1"/>
  <c r="A248" i="1"/>
  <c r="K35" i="9"/>
  <c r="D74" i="8"/>
  <c r="AH6" i="1"/>
  <c r="A80" i="1"/>
  <c r="K157" i="1"/>
  <c r="T13" i="1"/>
  <c r="O35" i="1"/>
  <c r="N34" i="1" s="1"/>
  <c r="A50" i="1"/>
  <c r="Q60" i="1"/>
  <c r="AL96" i="1"/>
  <c r="AB68" i="8"/>
  <c r="F6" i="1"/>
  <c r="B81" i="1"/>
  <c r="A16" i="8"/>
  <c r="AB64" i="8"/>
  <c r="AC6" i="1"/>
  <c r="A9" i="1"/>
  <c r="T15" i="1"/>
  <c r="U20" i="1"/>
  <c r="U30" i="1"/>
  <c r="AE40" i="1"/>
  <c r="A46" i="1"/>
  <c r="AE54" i="1"/>
  <c r="M79" i="1"/>
  <c r="K78" i="1" s="1"/>
  <c r="M96" i="1"/>
  <c r="AN141" i="1"/>
  <c r="AN147" i="1"/>
  <c r="A157" i="1"/>
  <c r="A224" i="1"/>
  <c r="AA230" i="1"/>
  <c r="Q50" i="1"/>
  <c r="AE60" i="1"/>
  <c r="V7" i="8"/>
  <c r="F10" i="8"/>
  <c r="A51" i="8"/>
  <c r="P9" i="1"/>
  <c r="A13" i="1"/>
  <c r="A26" i="1"/>
  <c r="K35" i="1"/>
  <c r="AC37" i="1"/>
  <c r="AE46" i="1"/>
  <c r="A58" i="1"/>
  <c r="A60" i="1"/>
  <c r="AK74" i="1"/>
  <c r="P79" i="1"/>
  <c r="AF96" i="1"/>
  <c r="AF105" i="1"/>
  <c r="D157" i="1"/>
  <c r="A192" i="1"/>
  <c r="A251" i="1"/>
  <c r="B179" i="1"/>
  <c r="A32" i="1"/>
  <c r="M157" i="1"/>
  <c r="U71" i="8"/>
  <c r="T7" i="1"/>
  <c r="U18" i="1"/>
  <c r="U32" i="1"/>
  <c r="Q42" i="1"/>
  <c r="Q44" i="1"/>
  <c r="AE50" i="1"/>
  <c r="AE52" i="1"/>
  <c r="A56" i="1"/>
  <c r="AL58" i="1"/>
  <c r="AJ57" i="1" s="1"/>
  <c r="Z68" i="1"/>
  <c r="A77" i="1"/>
  <c r="P81" i="1"/>
  <c r="B113" i="1"/>
  <c r="AN144" i="1"/>
  <c r="AO157" i="1"/>
  <c r="A194" i="1"/>
  <c r="AA251" i="1"/>
  <c r="K39" i="9"/>
  <c r="K45" i="9"/>
  <c r="A7" i="1"/>
  <c r="A42" i="1"/>
  <c r="A74" i="1"/>
  <c r="V6" i="8"/>
  <c r="V20" i="8"/>
  <c r="A5" i="1"/>
  <c r="A11" i="1"/>
  <c r="AC35" i="1"/>
  <c r="K37" i="1"/>
  <c r="AE42" i="1"/>
  <c r="AE44" i="1"/>
  <c r="A48" i="1"/>
  <c r="AL50" i="1"/>
  <c r="AJ49" i="1" s="1"/>
  <c r="Q56" i="1"/>
  <c r="AO58" i="1"/>
  <c r="AN57" i="1" s="1"/>
  <c r="A72" i="1"/>
  <c r="P74" i="1"/>
  <c r="AF81" i="1"/>
  <c r="I113" i="1"/>
  <c r="K34" i="9"/>
  <c r="A44" i="1"/>
  <c r="N68" i="1"/>
  <c r="A5" i="8"/>
  <c r="A63" i="8"/>
  <c r="A72" i="8"/>
  <c r="T11" i="1"/>
  <c r="O37" i="1"/>
  <c r="N36" i="1" s="1"/>
  <c r="A40" i="1"/>
  <c r="AL42" i="1"/>
  <c r="AJ41" i="1" s="1"/>
  <c r="Q48" i="1"/>
  <c r="AO50" i="1"/>
  <c r="AN49" i="1" s="1"/>
  <c r="AE56" i="1"/>
  <c r="A62" i="1"/>
  <c r="A79" i="1"/>
  <c r="AL81" i="1"/>
  <c r="P113" i="1"/>
  <c r="D124" i="1"/>
  <c r="AH147" i="1"/>
  <c r="AH153" i="1"/>
  <c r="R179" i="1"/>
  <c r="Z194" i="1"/>
  <c r="A74" i="8"/>
  <c r="K32" i="9"/>
  <c r="S35" i="1"/>
  <c r="R34" i="1" s="1"/>
  <c r="Q52" i="1"/>
  <c r="AE58" i="1"/>
  <c r="AB248" i="1"/>
  <c r="A55" i="8"/>
  <c r="A59" i="8"/>
  <c r="A64" i="8"/>
  <c r="A15" i="1"/>
  <c r="A20" i="1"/>
  <c r="A24" i="1"/>
  <c r="A30" i="1"/>
  <c r="S37" i="1"/>
  <c r="R36" i="1" s="1"/>
  <c r="Q40" i="1"/>
  <c r="AO42" i="1"/>
  <c r="AN41" i="1" s="1"/>
  <c r="AE48" i="1"/>
  <c r="A54" i="1"/>
  <c r="AE62" i="1"/>
  <c r="AG74" i="1"/>
  <c r="H79" i="1"/>
  <c r="F78" i="1" s="1"/>
  <c r="B96" i="1"/>
  <c r="B105" i="1"/>
  <c r="AB113" i="1"/>
  <c r="AH141" i="1"/>
  <c r="AN153" i="1"/>
  <c r="AD194" i="1"/>
  <c r="K31" i="9"/>
  <c r="I21" i="8"/>
  <c r="E45" i="9"/>
  <c r="L45" i="9" s="1"/>
  <c r="E7" i="9"/>
  <c r="I45" i="9"/>
  <c r="Q45" i="9" s="1"/>
  <c r="E6" i="9"/>
  <c r="E32" i="9"/>
  <c r="L32" i="9" s="1"/>
  <c r="I32" i="9"/>
  <c r="Q32" i="9" s="1"/>
  <c r="T4" i="9"/>
  <c r="S4" i="9"/>
  <c r="Z4" i="9"/>
  <c r="R4" i="9"/>
  <c r="X4" i="9"/>
  <c r="W4" i="9"/>
  <c r="V4" i="9"/>
  <c r="U4" i="9"/>
  <c r="Y4" i="9"/>
  <c r="H33" i="9"/>
  <c r="H46" i="9"/>
  <c r="O44" i="9"/>
  <c r="D44" i="9"/>
  <c r="AA66" i="4"/>
  <c r="AA65" i="4"/>
  <c r="AA64" i="4"/>
  <c r="AA67" i="4"/>
  <c r="A69" i="8"/>
  <c r="S7" i="9"/>
  <c r="X7" i="9"/>
  <c r="Y7" i="9"/>
  <c r="W7" i="9"/>
  <c r="V7" i="9"/>
  <c r="T7" i="9"/>
  <c r="R7" i="9"/>
  <c r="Y11" i="9"/>
  <c r="H32" i="9"/>
  <c r="B39" i="9"/>
  <c r="H38" i="9"/>
  <c r="H51" i="9"/>
  <c r="B35" i="9"/>
  <c r="H44" i="9"/>
  <c r="F76" i="1"/>
  <c r="H48" i="9"/>
  <c r="H35" i="9"/>
  <c r="B33" i="9"/>
  <c r="B34" i="9"/>
  <c r="B40" i="9"/>
  <c r="B51" i="9"/>
  <c r="B52" i="9"/>
  <c r="F26" i="9"/>
  <c r="D26" i="9"/>
  <c r="C26" i="9"/>
  <c r="A208" i="1"/>
  <c r="A60" i="8"/>
  <c r="Q51" i="8"/>
  <c r="AE56" i="8"/>
  <c r="AE53" i="8"/>
  <c r="Q59" i="8"/>
  <c r="Q56" i="8"/>
  <c r="Q53" i="8"/>
  <c r="A50" i="8"/>
  <c r="Q61" i="8"/>
  <c r="AE52" i="8"/>
  <c r="AE60" i="8"/>
  <c r="AE57" i="8"/>
  <c r="A52" i="8"/>
  <c r="S230" i="1"/>
  <c r="H31" i="9"/>
  <c r="F248" i="1"/>
  <c r="H21" i="1"/>
  <c r="X8" i="9"/>
  <c r="U8" i="9"/>
  <c r="Y8" i="9"/>
  <c r="W8" i="9"/>
  <c r="V8" i="9"/>
  <c r="S8" i="9"/>
  <c r="R8" i="9"/>
  <c r="Q9" i="9"/>
  <c r="B38" i="9"/>
  <c r="U7" i="9"/>
  <c r="H36" i="9"/>
  <c r="H49" i="9"/>
  <c r="X11" i="9"/>
  <c r="G26" i="9"/>
  <c r="J33" i="9"/>
  <c r="K33" i="9" s="1"/>
  <c r="R33" i="9"/>
  <c r="K38" i="9"/>
  <c r="B47" i="9"/>
  <c r="B48" i="9"/>
  <c r="E44" i="9"/>
  <c r="L44" i="9" s="1"/>
  <c r="A43" i="8"/>
  <c r="A70" i="8"/>
  <c r="AD45" i="8"/>
  <c r="B45" i="8"/>
  <c r="R37" i="9"/>
  <c r="J37" i="9"/>
  <c r="K37" i="9" s="1"/>
  <c r="B31" i="9"/>
  <c r="O45" i="8"/>
  <c r="E5" i="9"/>
  <c r="E4" i="9"/>
  <c r="AK45" i="8"/>
  <c r="A94" i="8"/>
  <c r="V150" i="1"/>
  <c r="A147" i="1"/>
  <c r="A141" i="1"/>
  <c r="B135" i="1"/>
  <c r="Y138" i="1"/>
  <c r="A155" i="1"/>
  <c r="P138" i="1"/>
  <c r="B138" i="1"/>
  <c r="F134" i="1"/>
  <c r="A153" i="1"/>
  <c r="A144" i="1"/>
  <c r="AG14" i="8"/>
  <c r="Z7" i="9"/>
  <c r="C51" i="9"/>
  <c r="C38" i="9"/>
  <c r="B37" i="9"/>
  <c r="H34" i="9"/>
  <c r="H47" i="9"/>
  <c r="K230" i="1"/>
  <c r="E246" i="1"/>
  <c r="C230" i="1"/>
  <c r="C233" i="1"/>
  <c r="Q6" i="9"/>
  <c r="B32" i="9"/>
  <c r="B44" i="9"/>
  <c r="B46" i="9"/>
  <c r="B49" i="9"/>
  <c r="B45" i="9"/>
  <c r="B185" i="1"/>
  <c r="X5" i="9"/>
  <c r="V12" i="9"/>
  <c r="Q13" i="9"/>
  <c r="C39" i="9"/>
  <c r="C52" i="9"/>
  <c r="K50" i="9"/>
  <c r="Q157" i="1"/>
  <c r="A188" i="1"/>
  <c r="T194" i="1"/>
  <c r="K233" i="1"/>
  <c r="B255" i="1"/>
  <c r="L135" i="9"/>
  <c r="C31" i="9"/>
  <c r="Y5" i="9"/>
  <c r="W12" i="9"/>
  <c r="B66" i="1"/>
  <c r="U157" i="1"/>
  <c r="A190" i="1"/>
  <c r="A221" i="1"/>
  <c r="C235" i="1"/>
  <c r="B256" i="1"/>
  <c r="Z5" i="9"/>
  <c r="K46" i="9"/>
  <c r="K48" i="9"/>
  <c r="AC194" i="1"/>
  <c r="L134" i="9"/>
  <c r="X12" i="9"/>
  <c r="U12" i="9"/>
  <c r="R38" i="9"/>
  <c r="K52" i="9"/>
  <c r="B121" i="1"/>
  <c r="Q10" i="9"/>
  <c r="A203" i="1"/>
  <c r="V5" i="9"/>
  <c r="AA5" i="9" s="1"/>
  <c r="M32" i="9" s="1"/>
  <c r="N32" i="9" s="1"/>
  <c r="S12" i="9"/>
  <c r="K13" i="9"/>
  <c r="K44" i="9"/>
  <c r="K49" i="9"/>
  <c r="H50" i="9"/>
  <c r="C32" i="9"/>
  <c r="J36" i="9"/>
  <c r="K36" i="9" s="1"/>
  <c r="J47" i="9"/>
  <c r="K47" i="9" s="1"/>
  <c r="J51" i="9"/>
  <c r="K51" i="9" s="1"/>
  <c r="T11" i="9" l="1"/>
  <c r="V11" i="9"/>
  <c r="W11" i="9"/>
  <c r="S11" i="9"/>
  <c r="R11" i="9"/>
  <c r="Z11" i="9"/>
  <c r="AU11" i="8"/>
  <c r="AU12" i="8" s="1"/>
  <c r="D700" i="4"/>
  <c r="O106" i="4"/>
  <c r="O119" i="4" s="1"/>
  <c r="Q74" i="4" s="1"/>
  <c r="A237" i="1" s="1"/>
  <c r="AA12" i="9"/>
  <c r="M51" i="9" s="1"/>
  <c r="N51" i="9" s="1"/>
  <c r="A178" i="1"/>
  <c r="Y10" i="9"/>
  <c r="V10" i="9"/>
  <c r="X10" i="9"/>
  <c r="W10" i="9"/>
  <c r="U10" i="9"/>
  <c r="S10" i="9"/>
  <c r="R10" i="9"/>
  <c r="T10" i="9"/>
  <c r="Z10" i="9"/>
  <c r="V9" i="9"/>
  <c r="S9" i="9"/>
  <c r="Y9" i="9"/>
  <c r="X9" i="9"/>
  <c r="W9" i="9"/>
  <c r="T9" i="9"/>
  <c r="R9" i="9"/>
  <c r="U9" i="9"/>
  <c r="Z9" i="9"/>
  <c r="AA11" i="9"/>
  <c r="AA4" i="9"/>
  <c r="H52" i="9"/>
  <c r="H39" i="9"/>
  <c r="AL51" i="9"/>
  <c r="AD51" i="9"/>
  <c r="AF50" i="9"/>
  <c r="X50" i="9"/>
  <c r="AH49" i="9"/>
  <c r="Z49" i="9"/>
  <c r="AJ48" i="9"/>
  <c r="AB48" i="9"/>
  <c r="AL47" i="9"/>
  <c r="AD47" i="9"/>
  <c r="AF46" i="9"/>
  <c r="X46" i="9"/>
  <c r="AH45" i="9"/>
  <c r="Z45" i="9"/>
  <c r="AJ44" i="9"/>
  <c r="AB44" i="9"/>
  <c r="AK51" i="9"/>
  <c r="AC51" i="9"/>
  <c r="AE50" i="9"/>
  <c r="AG49" i="9"/>
  <c r="Y49" i="9"/>
  <c r="AI48" i="9"/>
  <c r="AA48" i="9"/>
  <c r="AK47" i="9"/>
  <c r="AC47" i="9"/>
  <c r="AE46" i="9"/>
  <c r="AG45" i="9"/>
  <c r="Y45" i="9"/>
  <c r="AI44" i="9"/>
  <c r="AA44" i="9"/>
  <c r="AJ43" i="9"/>
  <c r="AB43" i="9"/>
  <c r="AJ51" i="9"/>
  <c r="AB51" i="9"/>
  <c r="AL50" i="9"/>
  <c r="AD50" i="9"/>
  <c r="AF49" i="9"/>
  <c r="X49" i="9"/>
  <c r="AH48" i="9"/>
  <c r="Z48" i="9"/>
  <c r="AJ47" i="9"/>
  <c r="AB47" i="9"/>
  <c r="AL46" i="9"/>
  <c r="AD46" i="9"/>
  <c r="AF45" i="9"/>
  <c r="X45" i="9"/>
  <c r="AH44" i="9"/>
  <c r="Z44" i="9"/>
  <c r="AI43" i="9"/>
  <c r="AI51" i="9"/>
  <c r="AA51" i="9"/>
  <c r="AK50" i="9"/>
  <c r="AC50" i="9"/>
  <c r="AH51" i="9"/>
  <c r="Z51" i="9"/>
  <c r="AJ50" i="9"/>
  <c r="AB50" i="9"/>
  <c r="AL49" i="9"/>
  <c r="AD49" i="9"/>
  <c r="AF48" i="9"/>
  <c r="X48" i="9"/>
  <c r="AH47" i="9"/>
  <c r="Z47" i="9"/>
  <c r="AJ46" i="9"/>
  <c r="AB46" i="9"/>
  <c r="AL45" i="9"/>
  <c r="AD45" i="9"/>
  <c r="AF44" i="9"/>
  <c r="X44" i="9"/>
  <c r="AG43" i="9"/>
  <c r="Y43" i="9"/>
  <c r="AF51" i="9"/>
  <c r="X51" i="9"/>
  <c r="AH50" i="9"/>
  <c r="Z50" i="9"/>
  <c r="AJ49" i="9"/>
  <c r="AB49" i="9"/>
  <c r="AL48" i="9"/>
  <c r="AD48" i="9"/>
  <c r="AF47" i="9"/>
  <c r="X47" i="9"/>
  <c r="AH46" i="9"/>
  <c r="Z46" i="9"/>
  <c r="AJ45" i="9"/>
  <c r="AB45" i="9"/>
  <c r="AL44" i="9"/>
  <c r="AD44" i="9"/>
  <c r="AE43" i="9"/>
  <c r="AA50" i="9"/>
  <c r="AE49" i="9"/>
  <c r="AK48" i="9"/>
  <c r="AA45" i="9"/>
  <c r="AC44" i="9"/>
  <c r="AH43" i="9"/>
  <c r="AG51" i="9"/>
  <c r="Y50" i="9"/>
  <c r="AC49" i="9"/>
  <c r="AG48" i="9"/>
  <c r="Y44" i="9"/>
  <c r="AF43" i="9"/>
  <c r="AE51" i="9"/>
  <c r="AA49" i="9"/>
  <c r="AE48" i="9"/>
  <c r="AI47" i="9"/>
  <c r="AK46" i="9"/>
  <c r="AD43" i="9"/>
  <c r="Y51" i="9"/>
  <c r="AC48" i="9"/>
  <c r="AG47" i="9"/>
  <c r="AI46" i="9"/>
  <c r="Y48" i="9"/>
  <c r="AE47" i="9"/>
  <c r="AG46" i="9"/>
  <c r="AK45" i="9"/>
  <c r="AA43" i="9"/>
  <c r="AA47" i="9"/>
  <c r="AC46" i="9"/>
  <c r="AI45" i="9"/>
  <c r="AK44" i="9"/>
  <c r="Z43" i="9"/>
  <c r="AI50" i="9"/>
  <c r="AK49" i="9"/>
  <c r="Y47" i="9"/>
  <c r="AA46" i="9"/>
  <c r="AE45" i="9"/>
  <c r="AG44" i="9"/>
  <c r="AL43" i="9"/>
  <c r="X43" i="9"/>
  <c r="AG50" i="9"/>
  <c r="AI49" i="9"/>
  <c r="AE44" i="9"/>
  <c r="AK43" i="9"/>
  <c r="AC43" i="9"/>
  <c r="AE39" i="9"/>
  <c r="Y46" i="9"/>
  <c r="AC45" i="9"/>
  <c r="AL40" i="9"/>
  <c r="AM40" i="9" s="1"/>
  <c r="AL39" i="9"/>
  <c r="AD39" i="9"/>
  <c r="AM39" i="9" s="1"/>
  <c r="AI38" i="9"/>
  <c r="AA38" i="9"/>
  <c r="AF37" i="9"/>
  <c r="M173" i="1" s="1"/>
  <c r="X37" i="9"/>
  <c r="AK36" i="9"/>
  <c r="A171" i="1" s="1"/>
  <c r="AC36" i="9"/>
  <c r="AH35" i="9"/>
  <c r="Z35" i="9"/>
  <c r="K168" i="1" s="1"/>
  <c r="AE34" i="9"/>
  <c r="AJ33" i="9"/>
  <c r="A164" i="1" s="1"/>
  <c r="AB33" i="9"/>
  <c r="Q164" i="1" s="1"/>
  <c r="AG32" i="9"/>
  <c r="K163" i="1" s="1"/>
  <c r="Y32" i="9"/>
  <c r="D162" i="1" s="1"/>
  <c r="AL31" i="9"/>
  <c r="AO160" i="1" s="1"/>
  <c r="AD31" i="9"/>
  <c r="AM31" i="9" s="1"/>
  <c r="AO161" i="1" s="1"/>
  <c r="AI30" i="9"/>
  <c r="AA30" i="9"/>
  <c r="AI39" i="9"/>
  <c r="AA39" i="9"/>
  <c r="AN39" i="9" s="1"/>
  <c r="AO39" i="9" s="1"/>
  <c r="AF38" i="9"/>
  <c r="M175" i="1" s="1"/>
  <c r="X38" i="9"/>
  <c r="AK37" i="9"/>
  <c r="A173" i="1" s="1"/>
  <c r="AC37" i="9"/>
  <c r="AH36" i="9"/>
  <c r="Z36" i="9"/>
  <c r="K170" i="1" s="1"/>
  <c r="AE35" i="9"/>
  <c r="AJ34" i="9"/>
  <c r="A166" i="1" s="1"/>
  <c r="AB34" i="9"/>
  <c r="Q166" i="1" s="1"/>
  <c r="AG33" i="9"/>
  <c r="K165" i="1" s="1"/>
  <c r="Y33" i="9"/>
  <c r="D164" i="1" s="1"/>
  <c r="AL32" i="9"/>
  <c r="AO162" i="1" s="1"/>
  <c r="AD32" i="9"/>
  <c r="AM32" i="9" s="1"/>
  <c r="AO163" i="1" s="1"/>
  <c r="AI31" i="9"/>
  <c r="AA31" i="9"/>
  <c r="AF30" i="9"/>
  <c r="M159" i="1" s="1"/>
  <c r="X30" i="9"/>
  <c r="AG39" i="9"/>
  <c r="Y39" i="9"/>
  <c r="AL38" i="9"/>
  <c r="AO174" i="1" s="1"/>
  <c r="AD38" i="9"/>
  <c r="AM38" i="9" s="1"/>
  <c r="AO175" i="1" s="1"/>
  <c r="AI37" i="9"/>
  <c r="AA37" i="9"/>
  <c r="AJ39" i="9"/>
  <c r="AK38" i="9"/>
  <c r="A175" i="1" s="1"/>
  <c r="Y38" i="9"/>
  <c r="D174" i="1" s="1"/>
  <c r="Z37" i="9"/>
  <c r="K172" i="1" s="1"/>
  <c r="AE36" i="9"/>
  <c r="AL35" i="9"/>
  <c r="AO168" i="1" s="1"/>
  <c r="AB35" i="9"/>
  <c r="Q168" i="1" s="1"/>
  <c r="AK34" i="9"/>
  <c r="A167" i="1" s="1"/>
  <c r="Z34" i="9"/>
  <c r="K166" i="1" s="1"/>
  <c r="AH33" i="9"/>
  <c r="AE32" i="9"/>
  <c r="AK31" i="9"/>
  <c r="A161" i="1" s="1"/>
  <c r="Z31" i="9"/>
  <c r="K160" i="1" s="1"/>
  <c r="AG30" i="9"/>
  <c r="K159" i="1" s="1"/>
  <c r="AG40" i="9"/>
  <c r="AH39" i="9"/>
  <c r="AJ38" i="9"/>
  <c r="A174" i="1" s="1"/>
  <c r="AL37" i="9"/>
  <c r="AO172" i="1" s="1"/>
  <c r="Y37" i="9"/>
  <c r="D172" i="1" s="1"/>
  <c r="AD36" i="9"/>
  <c r="AM36" i="9" s="1"/>
  <c r="AO171" i="1" s="1"/>
  <c r="AK35" i="9"/>
  <c r="A169" i="1" s="1"/>
  <c r="AA35" i="9"/>
  <c r="AI34" i="9"/>
  <c r="Y34" i="9"/>
  <c r="D166" i="1" s="1"/>
  <c r="AF33" i="9"/>
  <c r="M165" i="1" s="1"/>
  <c r="AC32" i="9"/>
  <c r="AJ31" i="9"/>
  <c r="A160" i="1" s="1"/>
  <c r="Y31" i="9"/>
  <c r="D160" i="1" s="1"/>
  <c r="AE30" i="9"/>
  <c r="AF39" i="9"/>
  <c r="AH38" i="9"/>
  <c r="AJ37" i="9"/>
  <c r="A172" i="1" s="1"/>
  <c r="AB36" i="9"/>
  <c r="Q170" i="1" s="1"/>
  <c r="AJ35" i="9"/>
  <c r="A168" i="1" s="1"/>
  <c r="Y35" i="9"/>
  <c r="D168" i="1" s="1"/>
  <c r="AH34" i="9"/>
  <c r="X34" i="9"/>
  <c r="AE33" i="9"/>
  <c r="AB32" i="9"/>
  <c r="Q162" i="1" s="1"/>
  <c r="AH31" i="9"/>
  <c r="X31" i="9"/>
  <c r="AD30" i="9"/>
  <c r="AM30" i="9" s="1"/>
  <c r="AO159" i="1" s="1"/>
  <c r="AC39" i="9"/>
  <c r="AE38" i="9"/>
  <c r="AG37" i="9"/>
  <c r="K173" i="1" s="1"/>
  <c r="AJ36" i="9"/>
  <c r="A170" i="1" s="1"/>
  <c r="Y36" i="9"/>
  <c r="D170" i="1" s="1"/>
  <c r="AG35" i="9"/>
  <c r="K169" i="1" s="1"/>
  <c r="AF34" i="9"/>
  <c r="M167" i="1" s="1"/>
  <c r="AC33" i="9"/>
  <c r="AJ32" i="9"/>
  <c r="A162" i="1" s="1"/>
  <c r="Z32" i="9"/>
  <c r="K162" i="1" s="1"/>
  <c r="AF31" i="9"/>
  <c r="M161" i="1" s="1"/>
  <c r="AL30" i="9"/>
  <c r="AO158" i="1" s="1"/>
  <c r="AB30" i="9"/>
  <c r="Q158" i="1" s="1"/>
  <c r="AB39" i="9"/>
  <c r="AC38" i="9"/>
  <c r="AE37" i="9"/>
  <c r="AI36" i="9"/>
  <c r="X36" i="9"/>
  <c r="AF35" i="9"/>
  <c r="M169" i="1" s="1"/>
  <c r="AD34" i="9"/>
  <c r="AM34" i="9" s="1"/>
  <c r="AO167" i="1" s="1"/>
  <c r="AL33" i="9"/>
  <c r="AO164" i="1" s="1"/>
  <c r="AA33" i="9"/>
  <c r="AI32" i="9"/>
  <c r="X32" i="9"/>
  <c r="AE31" i="9"/>
  <c r="AK30" i="9"/>
  <c r="A159" i="1" s="1"/>
  <c r="Z30" i="9"/>
  <c r="K158" i="1" s="1"/>
  <c r="Z39" i="9"/>
  <c r="AB38" i="9"/>
  <c r="Q174" i="1" s="1"/>
  <c r="AD37" i="9"/>
  <c r="AM37" i="9" s="1"/>
  <c r="AO173" i="1" s="1"/>
  <c r="AG36" i="9"/>
  <c r="K171" i="1" s="1"/>
  <c r="AD35" i="9"/>
  <c r="AM35" i="9" s="1"/>
  <c r="AO169" i="1" s="1"/>
  <c r="AC34" i="9"/>
  <c r="AK33" i="9"/>
  <c r="A165" i="1" s="1"/>
  <c r="Z33" i="9"/>
  <c r="K164" i="1" s="1"/>
  <c r="AH32" i="9"/>
  <c r="AC31" i="9"/>
  <c r="AJ30" i="9"/>
  <c r="A158" i="1" s="1"/>
  <c r="Y30" i="9"/>
  <c r="D158" i="1" s="1"/>
  <c r="X39" i="9"/>
  <c r="AB37" i="9"/>
  <c r="Q172" i="1" s="1"/>
  <c r="AF32" i="9"/>
  <c r="M163" i="1" s="1"/>
  <c r="AH30" i="9"/>
  <c r="AH37" i="9"/>
  <c r="AL34" i="9"/>
  <c r="AO166" i="1" s="1"/>
  <c r="AI33" i="9"/>
  <c r="AA32" i="9"/>
  <c r="AC30" i="9"/>
  <c r="AK32" i="9"/>
  <c r="A163" i="1" s="1"/>
  <c r="AI35" i="9"/>
  <c r="AG34" i="9"/>
  <c r="K167" i="1" s="1"/>
  <c r="AD33" i="9"/>
  <c r="AM33" i="9" s="1"/>
  <c r="AO165" i="1" s="1"/>
  <c r="AG38" i="9"/>
  <c r="K175" i="1" s="1"/>
  <c r="AC35" i="9"/>
  <c r="AA34" i="9"/>
  <c r="X33" i="9"/>
  <c r="AG31" i="9"/>
  <c r="K161" i="1" s="1"/>
  <c r="Z38" i="9"/>
  <c r="K174" i="1" s="1"/>
  <c r="AL36" i="9"/>
  <c r="AO170" i="1" s="1"/>
  <c r="X35" i="9"/>
  <c r="AB31" i="9"/>
  <c r="Q160" i="1" s="1"/>
  <c r="AF36" i="9"/>
  <c r="M171" i="1" s="1"/>
  <c r="AK39" i="9"/>
  <c r="AA36" i="9"/>
  <c r="AA8" i="9"/>
  <c r="T13" i="9"/>
  <c r="Y13" i="9"/>
  <c r="U13" i="9"/>
  <c r="S13" i="9"/>
  <c r="R13" i="9"/>
  <c r="Z13" i="9"/>
  <c r="X13" i="9"/>
  <c r="W13" i="9"/>
  <c r="V13" i="9"/>
  <c r="F23" i="9"/>
  <c r="F22" i="9" s="1"/>
  <c r="F13" i="9"/>
  <c r="F12" i="9" s="1"/>
  <c r="F5" i="9"/>
  <c r="F4" i="9" s="1"/>
  <c r="F17" i="9"/>
  <c r="F16" i="9" s="1"/>
  <c r="F19" i="9"/>
  <c r="F18" i="9" s="1"/>
  <c r="F11" i="9"/>
  <c r="F10" i="9" s="1"/>
  <c r="F15" i="9"/>
  <c r="F14" i="9" s="1"/>
  <c r="F7" i="9"/>
  <c r="F6" i="9" s="1"/>
  <c r="F21" i="9"/>
  <c r="F20" i="9" s="1"/>
  <c r="W6" i="9"/>
  <c r="Z6" i="9"/>
  <c r="Y6" i="9"/>
  <c r="X6" i="9"/>
  <c r="U6" i="9"/>
  <c r="T6" i="9"/>
  <c r="S6" i="9"/>
  <c r="V6" i="9"/>
  <c r="R6" i="9"/>
  <c r="AA7" i="9"/>
  <c r="M39" i="9" l="1"/>
  <c r="N39" i="9" s="1"/>
  <c r="P74" i="4"/>
  <c r="A210" i="1" s="1"/>
  <c r="M44" i="9"/>
  <c r="N44" i="9" s="1"/>
  <c r="M31" i="9"/>
  <c r="N31" i="9" s="1"/>
  <c r="U160" i="1"/>
  <c r="Q161" i="1"/>
  <c r="U172" i="1"/>
  <c r="Q173" i="1"/>
  <c r="AN34" i="9"/>
  <c r="AO34" i="9" s="1"/>
  <c r="M166" i="1"/>
  <c r="AN31" i="9"/>
  <c r="AO31" i="9" s="1"/>
  <c r="M160" i="1"/>
  <c r="U168" i="1"/>
  <c r="Q169" i="1"/>
  <c r="AN38" i="9"/>
  <c r="AO38" i="9" s="1"/>
  <c r="M174" i="1"/>
  <c r="M50" i="9"/>
  <c r="N50" i="9" s="1"/>
  <c r="M38" i="9"/>
  <c r="N38" i="9" s="1"/>
  <c r="AN36" i="9"/>
  <c r="AO36" i="9" s="1"/>
  <c r="M170" i="1"/>
  <c r="AN32" i="9"/>
  <c r="AO32" i="9" s="1"/>
  <c r="M162" i="1"/>
  <c r="AA13" i="9"/>
  <c r="M52" i="9" s="1"/>
  <c r="N52" i="9" s="1"/>
  <c r="AN33" i="9"/>
  <c r="AO33" i="9" s="1"/>
  <c r="M164" i="1"/>
  <c r="AN37" i="9"/>
  <c r="AO37" i="9" s="1"/>
  <c r="M172" i="1"/>
  <c r="M46" i="9"/>
  <c r="N46" i="9" s="1"/>
  <c r="M34" i="9"/>
  <c r="N34" i="9" s="1"/>
  <c r="AN30" i="9"/>
  <c r="AO30" i="9" s="1"/>
  <c r="M158" i="1"/>
  <c r="Q167" i="1"/>
  <c r="U166" i="1"/>
  <c r="Q163" i="1"/>
  <c r="U162" i="1"/>
  <c r="AA6" i="9"/>
  <c r="U164" i="1"/>
  <c r="Q165" i="1"/>
  <c r="AN35" i="9"/>
  <c r="AO35" i="9" s="1"/>
  <c r="M168" i="1"/>
  <c r="Q159" i="1"/>
  <c r="U158" i="1"/>
  <c r="Q171" i="1"/>
  <c r="U170" i="1"/>
  <c r="AA9" i="9"/>
  <c r="M47" i="9"/>
  <c r="N47" i="9" s="1"/>
  <c r="M35" i="9"/>
  <c r="N35" i="9" s="1"/>
  <c r="Q175" i="1"/>
  <c r="U174" i="1"/>
  <c r="AA10" i="9"/>
  <c r="AA100" i="9" l="1"/>
  <c r="AA95" i="9"/>
  <c r="M37" i="9"/>
  <c r="N37" i="9" s="1"/>
  <c r="M49" i="9"/>
  <c r="N49" i="9" s="1"/>
  <c r="AA103" i="9"/>
  <c r="AA98" i="9"/>
  <c r="M45" i="9"/>
  <c r="N45" i="9" s="1"/>
  <c r="M33" i="9"/>
  <c r="N33" i="9" s="1"/>
  <c r="AA97" i="9"/>
  <c r="AA102" i="9"/>
  <c r="AA94" i="9"/>
  <c r="AA104" i="9"/>
  <c r="AA101" i="9"/>
  <c r="AA99" i="9"/>
  <c r="M48" i="9"/>
  <c r="N48" i="9" s="1"/>
  <c r="M36" i="9"/>
  <c r="N36" i="9" s="1"/>
  <c r="AA9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author>
  </authors>
  <commentList>
    <comment ref="AC2" authorId="0" shapeId="0" xr:uid="{00000000-0006-0000-0000-000001000000}">
      <text>
        <r>
          <rPr>
            <b/>
            <sz val="9"/>
            <rFont val="FangSong"/>
            <family val="3"/>
            <charset val="134"/>
          </rPr>
          <t>请选择</t>
        </r>
        <r>
          <rPr>
            <b/>
            <sz val="9"/>
            <rFont val="ＭＳ Ｐゴシック"/>
            <family val="3"/>
            <charset val="128"/>
          </rPr>
          <t>您的</t>
        </r>
        <r>
          <rPr>
            <b/>
            <sz val="9"/>
            <rFont val="FangSong"/>
            <family val="3"/>
            <charset val="134"/>
          </rPr>
          <t>语</t>
        </r>
        <r>
          <rPr>
            <b/>
            <sz val="9"/>
            <rFont val="ＭＳ Ｐゴシック"/>
            <family val="3"/>
            <charset val="128"/>
          </rPr>
          <t xml:space="preserve">言
</t>
        </r>
        <r>
          <rPr>
            <b/>
            <sz val="9"/>
            <rFont val="Tahoma"/>
            <family val="2"/>
          </rPr>
          <t>Xin chọn ng</t>
        </r>
        <r>
          <rPr>
            <b/>
            <sz val="9"/>
            <rFont val="ＭＳ Ｐゴシック"/>
            <family val="3"/>
            <charset val="128"/>
          </rPr>
          <t>ô</t>
        </r>
        <r>
          <rPr>
            <b/>
            <sz val="9"/>
            <rFont val="Tahoma"/>
            <family val="2"/>
          </rPr>
          <t>n ngữ của bạn</t>
        </r>
        <r>
          <rPr>
            <b/>
            <sz val="9"/>
            <rFont val="ＭＳ Ｐゴシック"/>
            <family val="3"/>
            <charset val="128"/>
          </rPr>
          <t xml:space="preserve">
</t>
        </r>
        <r>
          <rPr>
            <b/>
            <sz val="9"/>
            <rFont val="Tahoma"/>
            <family val="2"/>
          </rPr>
          <t xml:space="preserve">Please select your language
</t>
        </r>
        <r>
          <rPr>
            <b/>
            <sz val="9"/>
            <rFont val="BatangChe"/>
            <family val="3"/>
            <charset val="129"/>
          </rPr>
          <t>언어를</t>
        </r>
        <r>
          <rPr>
            <b/>
            <sz val="9"/>
            <rFont val="Tahoma"/>
            <family val="2"/>
          </rPr>
          <t xml:space="preserve"> </t>
        </r>
        <r>
          <rPr>
            <b/>
            <sz val="9"/>
            <rFont val="BatangChe"/>
            <family val="3"/>
            <charset val="129"/>
          </rPr>
          <t>선택하세요</t>
        </r>
      </text>
    </comment>
  </commentList>
</comments>
</file>

<file path=xl/sharedStrings.xml><?xml version="1.0" encoding="utf-8"?>
<sst xmlns="http://schemas.openxmlformats.org/spreadsheetml/2006/main" count="3944" uniqueCount="1886">
  <si>
    <t>中国</t>
  </si>
  <si>
    <t>INDIRECT LIST</t>
  </si>
  <si>
    <t>TITLE</t>
  </si>
  <si>
    <t>CODE</t>
  </si>
  <si>
    <t>NATIONALITY</t>
  </si>
  <si>
    <t>□</t>
  </si>
  <si>
    <t>YES / NO</t>
  </si>
  <si>
    <t>VISA TYPE</t>
  </si>
  <si>
    <t>FAMILY</t>
  </si>
  <si>
    <t>SPONSOR</t>
  </si>
  <si>
    <t>GENDER</t>
  </si>
  <si>
    <t>MAJORS</t>
  </si>
  <si>
    <t>JOBS</t>
  </si>
  <si>
    <t>SCHOOLS</t>
  </si>
  <si>
    <t>PLAN</t>
  </si>
  <si>
    <t>RESIDENCE</t>
  </si>
  <si>
    <t>TESTS</t>
  </si>
  <si>
    <t>REASON</t>
  </si>
  <si>
    <t>（日本語能力試験）JLPT</t>
  </si>
  <si>
    <t>NAT-TEST</t>
  </si>
  <si>
    <t>進和外語アカデミー</t>
  </si>
  <si>
    <t>戸籍住所</t>
  </si>
  <si>
    <t>現住所</t>
  </si>
  <si>
    <t>关系</t>
  </si>
  <si>
    <t>年龄</t>
  </si>
  <si>
    <t>家庭住址</t>
  </si>
  <si>
    <t>作成者</t>
  </si>
  <si>
    <t>入　学　願　書</t>
  </si>
  <si>
    <t>氏　　名</t>
  </si>
  <si>
    <t>写真
30mm x 40mm</t>
  </si>
  <si>
    <t>国　　籍</t>
  </si>
  <si>
    <t>性　　別</t>
  </si>
  <si>
    <t>・</t>
  </si>
  <si>
    <t>生年月日</t>
  </si>
  <si>
    <t>年齢</t>
  </si>
  <si>
    <t>電話番号</t>
  </si>
  <si>
    <t>職　　業</t>
  </si>
  <si>
    <t>査証申請予定地</t>
  </si>
  <si>
    <t>仲介業者名</t>
  </si>
  <si>
    <t>旅券番号</t>
  </si>
  <si>
    <t>仲介業者住所</t>
  </si>
  <si>
    <t>有効期間</t>
  </si>
  <si>
    <t>経費支弁者</t>
  </si>
  <si>
    <t>氏　　　　名</t>
  </si>
  <si>
    <t>申請人との関係</t>
  </si>
  <si>
    <t>国　　　　籍</t>
  </si>
  <si>
    <t>居　　住　　国</t>
  </si>
  <si>
    <t>住　　　　 所</t>
  </si>
  <si>
    <t>自宅電話番号</t>
  </si>
  <si>
    <t>勤   務   先   名</t>
  </si>
  <si>
    <t>勤 務 先 住 所</t>
  </si>
  <si>
    <t>業種</t>
  </si>
  <si>
    <t>勤務先電話番号</t>
  </si>
  <si>
    <t>職種・役職</t>
  </si>
  <si>
    <t>年  　　  収</t>
  </si>
  <si>
    <t>日本語能力</t>
  </si>
  <si>
    <t>級</t>
  </si>
  <si>
    <t>合格</t>
  </si>
  <si>
    <t>結果待ち</t>
  </si>
  <si>
    <t>不合格</t>
  </si>
  <si>
    <t>受験日</t>
  </si>
  <si>
    <t>点数</t>
  </si>
  <si>
    <t>在日親族</t>
  </si>
  <si>
    <t>氏　　　名</t>
  </si>
  <si>
    <t>生　年　月　日</t>
  </si>
  <si>
    <t>職　　　　業</t>
  </si>
  <si>
    <t>続　　　柄</t>
  </si>
  <si>
    <t>在　留　資　格</t>
  </si>
  <si>
    <t>同   居  予   定</t>
  </si>
  <si>
    <t>有</t>
  </si>
  <si>
    <t>無</t>
  </si>
  <si>
    <t>国　　　籍</t>
  </si>
  <si>
    <t>在留カード番号</t>
  </si>
  <si>
    <t>勤務先/通学先</t>
  </si>
  <si>
    <t>住　　　所</t>
  </si>
  <si>
    <t>電   話  番   号</t>
  </si>
  <si>
    <t>日付</t>
  </si>
  <si>
    <t>申請人の署名</t>
  </si>
  <si>
    <t>履　歴　書</t>
  </si>
  <si>
    <t>現　住　所</t>
  </si>
  <si>
    <t>配偶者の有無</t>
  </si>
  <si>
    <t>配偶者　氏名</t>
  </si>
  <si>
    <t>(</t>
  </si>
  <si>
    <t>)</t>
  </si>
  <si>
    <t>日本語学習歴</t>
  </si>
  <si>
    <t>職歴</t>
  </si>
  <si>
    <t>過去の出入国歴</t>
  </si>
  <si>
    <t>就学理由</t>
  </si>
  <si>
    <t>卒業後の予定</t>
  </si>
  <si>
    <t>■</t>
  </si>
  <si>
    <t>国籍</t>
  </si>
  <si>
    <t>氏名</t>
  </si>
  <si>
    <t>性別</t>
  </si>
  <si>
    <t>職業</t>
  </si>
  <si>
    <t>住　　所</t>
  </si>
  <si>
    <t>続柄</t>
  </si>
  <si>
    <t>作成年月日：</t>
  </si>
  <si>
    <t>申請人の署名：</t>
  </si>
  <si>
    <t>経費支弁書</t>
  </si>
  <si>
    <t>日本国法務大臣　殿</t>
  </si>
  <si>
    <t>氏　名</t>
  </si>
  <si>
    <t>性　別</t>
  </si>
  <si>
    <t>男</t>
  </si>
  <si>
    <t>女</t>
  </si>
  <si>
    <t>私は、このたび上記のものが日本国に（在留中・入国した場合）の経費支弁者になりましたので、下記の通り経費支弁の引き受け経緯を説明することとともに経費支弁について証明します。</t>
  </si>
  <si>
    <t>記</t>
  </si>
  <si>
    <t>経費支弁の引き受け経緯　（申請者の経費支弁を引き受けた経緯及び申請者との関係について具体的に記載してください。）</t>
  </si>
  <si>
    <t>私</t>
  </si>
  <si>
    <t>は上記の者の日本国滞在について、下記のとおり経費支弁することを証明します。</t>
  </si>
  <si>
    <t>また、上記の者が在留期間更新許可申請の際には、送金証明書又は本人名義の預金通帳（送金事実、経費支弁事実が記載されたもの）の写し等で、生活費等の支弁事実を明らかにする書類を提出します。</t>
  </si>
  <si>
    <t>（1）</t>
  </si>
  <si>
    <t>学費</t>
  </si>
  <si>
    <t>毎日</t>
  </si>
  <si>
    <t>半年</t>
  </si>
  <si>
    <t>年間</t>
  </si>
  <si>
    <t>円</t>
  </si>
  <si>
    <t>（2）</t>
  </si>
  <si>
    <t>生活費</t>
  </si>
  <si>
    <t>毎月</t>
  </si>
  <si>
    <t>（3）</t>
  </si>
  <si>
    <t>支弁方法*送金・振込み等支弁方法を具体的に書いてください。</t>
  </si>
  <si>
    <t>住　　所：</t>
  </si>
  <si>
    <t>電話番号：</t>
  </si>
  <si>
    <t>氏　　名：</t>
  </si>
  <si>
    <t>申請人との関係：</t>
  </si>
  <si>
    <t>作成年月：</t>
  </si>
  <si>
    <t>Y</t>
  </si>
  <si>
    <t>M</t>
  </si>
  <si>
    <t>D</t>
  </si>
  <si>
    <t>TYPE</t>
  </si>
  <si>
    <t>LANGUAGE</t>
  </si>
  <si>
    <t>CHECKLISTS</t>
  </si>
  <si>
    <t>APPLICANT GENDER</t>
  </si>
  <si>
    <t>YES / NO OPTIONS</t>
  </si>
  <si>
    <t>Việt Nam</t>
  </si>
  <si>
    <t>YESNOVN</t>
  </si>
  <si>
    <t>CHECK</t>
  </si>
  <si>
    <t>Nam</t>
  </si>
  <si>
    <t>YESNOCN</t>
  </si>
  <si>
    <t>Nữ</t>
  </si>
  <si>
    <t>English</t>
  </si>
  <si>
    <t>YESNOEN</t>
  </si>
  <si>
    <t>JAPANESE TESTS</t>
  </si>
  <si>
    <t>한국어</t>
  </si>
  <si>
    <t>YESNOKR</t>
  </si>
  <si>
    <t>（外国人日本語能力検定試験）JLCT</t>
  </si>
  <si>
    <t>日本語</t>
  </si>
  <si>
    <t>YESNOJP</t>
  </si>
  <si>
    <t>Male</t>
  </si>
  <si>
    <t>INFORMATION ( STUDENTINFO )</t>
  </si>
  <si>
    <t>FAMILY MEMBERS</t>
  </si>
  <si>
    <t>FAMILYVN</t>
  </si>
  <si>
    <t>J-TEST</t>
  </si>
  <si>
    <t>Female</t>
  </si>
  <si>
    <t>Đơn xin nhập học</t>
  </si>
  <si>
    <t>Ngày làm đơn:</t>
  </si>
  <si>
    <t xml:space="preserve"> </t>
  </si>
  <si>
    <t>Quốc tịch</t>
  </si>
  <si>
    <t>Giới tính</t>
  </si>
  <si>
    <t>Tình trạng hôn nhân</t>
  </si>
  <si>
    <t>Có</t>
  </si>
  <si>
    <t>Không</t>
  </si>
  <si>
    <t>Ngày sinh</t>
  </si>
  <si>
    <t>Năm</t>
  </si>
  <si>
    <t>Tháng</t>
  </si>
  <si>
    <t>Ngày</t>
  </si>
  <si>
    <t>Tuổi</t>
  </si>
  <si>
    <t>Tên vợ hoặc chồng</t>
  </si>
  <si>
    <t>Nơi sinh</t>
  </si>
  <si>
    <t>Công việc</t>
  </si>
  <si>
    <t>Địa chỉ</t>
  </si>
  <si>
    <t>Số điện thoại</t>
  </si>
  <si>
    <t xml:space="preserve">Nơi cấp </t>
  </si>
  <si>
    <t xml:space="preserve">Số hộ chiếu </t>
  </si>
  <si>
    <t>Số</t>
  </si>
  <si>
    <t>Ngày cấp</t>
  </si>
  <si>
    <t>Ngày hết hạn</t>
  </si>
  <si>
    <t>Lý lịch đến Nhật</t>
  </si>
  <si>
    <t>Đã từng xin visa sang Nhật chưa.</t>
  </si>
  <si>
    <t>Ngày nhập cảnh</t>
  </si>
  <si>
    <t>Ngày xuất cảnh</t>
  </si>
  <si>
    <t>Tư cách visa</t>
  </si>
  <si>
    <t>Mục đích đến Nhật</t>
  </si>
  <si>
    <t>Trường muốn học</t>
  </si>
  <si>
    <t>Ngành  muốn học</t>
  </si>
  <si>
    <t>FAMILYCN</t>
  </si>
  <si>
    <t>J-CERT</t>
  </si>
  <si>
    <t xml:space="preserve">남 </t>
  </si>
  <si>
    <t>信　息　栏</t>
  </si>
  <si>
    <t>日期：</t>
  </si>
  <si>
    <t>姓　名</t>
  </si>
  <si>
    <t>国　籍</t>
  </si>
  <si>
    <t>是否结婚</t>
  </si>
  <si>
    <t>是</t>
  </si>
  <si>
    <t>否</t>
  </si>
  <si>
    <t>出生日期</t>
  </si>
  <si>
    <t>年</t>
  </si>
  <si>
    <t>月</t>
  </si>
  <si>
    <t>日</t>
  </si>
  <si>
    <t>配偶者姓名</t>
  </si>
  <si>
    <t>出生地</t>
  </si>
  <si>
    <t>职　业</t>
  </si>
  <si>
    <t>手机号</t>
  </si>
  <si>
    <t>发行机关</t>
  </si>
  <si>
    <t>护照号码</t>
  </si>
  <si>
    <t>号　码</t>
  </si>
  <si>
    <t>发行时间</t>
  </si>
  <si>
    <t>来日经历</t>
  </si>
  <si>
    <t>是否申请过来日签证</t>
  </si>
  <si>
    <t>入境时间</t>
  </si>
  <si>
    <t>离境时间</t>
  </si>
  <si>
    <t>在留资格</t>
  </si>
  <si>
    <t>入境目的</t>
  </si>
  <si>
    <t>毕业后的打算</t>
  </si>
  <si>
    <t>志望专业</t>
  </si>
  <si>
    <t>FAMILYEN</t>
  </si>
  <si>
    <t>TOP-J</t>
  </si>
  <si>
    <t xml:space="preserve">여 </t>
  </si>
  <si>
    <t>Information Form</t>
  </si>
  <si>
    <t>Date (Y/M/D):</t>
  </si>
  <si>
    <t>Nationality</t>
  </si>
  <si>
    <t>Gender</t>
  </si>
  <si>
    <t>Are you married?</t>
  </si>
  <si>
    <t>Yes</t>
  </si>
  <si>
    <t>No</t>
  </si>
  <si>
    <t>Date of Birth (Y/M/D)</t>
  </si>
  <si>
    <t>Year</t>
  </si>
  <si>
    <t>Month</t>
  </si>
  <si>
    <t>Day</t>
  </si>
  <si>
    <t>Age:</t>
  </si>
  <si>
    <t>Spouse's Name</t>
  </si>
  <si>
    <t>Place of Birth</t>
  </si>
  <si>
    <t>Occupation</t>
  </si>
  <si>
    <t>Home Address</t>
  </si>
  <si>
    <t>Telephone Number</t>
  </si>
  <si>
    <t>Place for Visa Application</t>
  </si>
  <si>
    <t>Passport Number</t>
  </si>
  <si>
    <t>Number</t>
  </si>
  <si>
    <t>Issue Date (Y/M/D)</t>
  </si>
  <si>
    <t>Expiry Date (Y/M/D)</t>
  </si>
  <si>
    <t>Japanese Travel History</t>
  </si>
  <si>
    <t>Have you ever applied for a Japanese visa?</t>
  </si>
  <si>
    <t>Arrival Date (Y/M/D)</t>
  </si>
  <si>
    <t>Departure Date (Y/M/D)</t>
  </si>
  <si>
    <t>Satus of Residence</t>
  </si>
  <si>
    <t>Purpose of Entry</t>
  </si>
  <si>
    <t>Plans After Graduation</t>
  </si>
  <si>
    <t>Desired Major</t>
  </si>
  <si>
    <t>FAMILYKR</t>
  </si>
  <si>
    <t>정보</t>
  </si>
  <si>
    <r>
      <rPr>
        <sz val="11"/>
        <color theme="1"/>
        <rFont val="Malgun Gothic"/>
        <family val="2"/>
        <charset val="129"/>
      </rPr>
      <t>날짜</t>
    </r>
    <r>
      <rPr>
        <sz val="11"/>
        <color theme="1"/>
        <rFont val="Calibri Light"/>
        <family val="2"/>
        <scheme val="major"/>
      </rPr>
      <t xml:space="preserve"> </t>
    </r>
  </si>
  <si>
    <t xml:space="preserve">성명 </t>
  </si>
  <si>
    <t xml:space="preserve">국적 </t>
  </si>
  <si>
    <t xml:space="preserve">성별 </t>
  </si>
  <si>
    <t xml:space="preserve">배우자 유무 </t>
  </si>
  <si>
    <t>있음</t>
  </si>
  <si>
    <t xml:space="preserve">없음 </t>
  </si>
  <si>
    <t xml:space="preserve">성년월일 </t>
  </si>
  <si>
    <t xml:space="preserve">년 </t>
  </si>
  <si>
    <t xml:space="preserve">월 </t>
  </si>
  <si>
    <t xml:space="preserve">일 </t>
  </si>
  <si>
    <t xml:space="preserve">나이 </t>
  </si>
  <si>
    <t>배우자 성명</t>
  </si>
  <si>
    <t>출생지</t>
  </si>
  <si>
    <t>직업</t>
  </si>
  <si>
    <t xml:space="preserve">주소 </t>
  </si>
  <si>
    <t xml:space="preserve">전화번호 </t>
  </si>
  <si>
    <t>비자 신청 예정지</t>
  </si>
  <si>
    <t xml:space="preserve">여권 번호 </t>
  </si>
  <si>
    <t xml:space="preserve">번호 </t>
  </si>
  <si>
    <t xml:space="preserve">발행날짜 </t>
  </si>
  <si>
    <t xml:space="preserve">유효기간 </t>
  </si>
  <si>
    <t>과거일본입출국경력</t>
  </si>
  <si>
    <t>일본에 온적이 있습니까?</t>
  </si>
  <si>
    <t xml:space="preserve">입국날짜 </t>
  </si>
  <si>
    <t xml:space="preserve">출국날짜 </t>
  </si>
  <si>
    <t>재류자격</t>
  </si>
  <si>
    <t>입국목적</t>
  </si>
  <si>
    <t>절업후예정</t>
  </si>
  <si>
    <t>지원학과</t>
  </si>
  <si>
    <t>FAMILYJP</t>
  </si>
  <si>
    <t>インフォメーションシート</t>
  </si>
  <si>
    <t>日付：</t>
  </si>
  <si>
    <t>はい</t>
  </si>
  <si>
    <t>いいえ</t>
  </si>
  <si>
    <t>職　業</t>
  </si>
  <si>
    <t>住　所</t>
  </si>
  <si>
    <t>番　号</t>
  </si>
  <si>
    <t>発行年月日</t>
  </si>
  <si>
    <t>有効期限</t>
  </si>
  <si>
    <t>日本のビザを申請したことがありますか？</t>
  </si>
  <si>
    <t>入国年月日</t>
  </si>
  <si>
    <t>出国年月日</t>
  </si>
  <si>
    <t>在留資格</t>
  </si>
  <si>
    <t>入国目的</t>
  </si>
  <si>
    <t>志望学科</t>
  </si>
  <si>
    <t>SPONSORVN</t>
  </si>
  <si>
    <t>SPONSORCN</t>
  </si>
  <si>
    <t>VARIABLES ( VARIABLES )</t>
  </si>
  <si>
    <t>FAMILY MEMBERS ( FAMILYINFO )</t>
  </si>
  <si>
    <t>REASON &amp; SIGN ( REASONINFO )</t>
  </si>
  <si>
    <t>携帯電話番号</t>
  </si>
  <si>
    <t>SPONSOREN</t>
  </si>
  <si>
    <t xml:space="preserve"> Họ và tên</t>
  </si>
  <si>
    <t>Địa chỉ thường trú：</t>
  </si>
  <si>
    <t>Địa chỉ hiện tại：</t>
  </si>
  <si>
    <t>Danh sách gia đình</t>
  </si>
  <si>
    <t>Quan hệ</t>
  </si>
  <si>
    <t>Lý do du học</t>
  </si>
  <si>
    <t>Tên học sinh:</t>
  </si>
  <si>
    <r>
      <rPr>
        <sz val="11"/>
        <color theme="1"/>
        <rFont val="Calibri Light"/>
        <family val="2"/>
        <scheme val="major"/>
      </rPr>
      <t>家庭固定</t>
    </r>
    <r>
      <rPr>
        <sz val="11"/>
        <color theme="1"/>
        <rFont val="Calibri Light"/>
        <family val="2"/>
        <scheme val="major"/>
      </rPr>
      <t>电话</t>
    </r>
  </si>
  <si>
    <t>家庭固定電話番号</t>
  </si>
  <si>
    <t>SPONSORKR</t>
  </si>
  <si>
    <t>拼　音</t>
  </si>
  <si>
    <t>戸籍住所：</t>
  </si>
  <si>
    <t>現住所：</t>
  </si>
  <si>
    <t>请填入家庭成员的相关信息.</t>
  </si>
  <si>
    <t xml:space="preserve">就学理由 </t>
  </si>
  <si>
    <t>(详细)</t>
  </si>
  <si>
    <t>申请者署名</t>
  </si>
  <si>
    <t>SPONSORJP</t>
  </si>
  <si>
    <t>Full Name</t>
  </si>
  <si>
    <t>Registered (If different)</t>
  </si>
  <si>
    <t>Current Address：</t>
  </si>
  <si>
    <t>Please enter the information about the applicant's family members</t>
  </si>
  <si>
    <t>Relationship</t>
  </si>
  <si>
    <t>Reason for enrolment</t>
  </si>
  <si>
    <t>(please write in detail)</t>
  </si>
  <si>
    <t>Signed</t>
  </si>
  <si>
    <t>Please write in detail your reason for coming to Japan and your plans after graduating from our school. Short responses are generally considered unfavourable</t>
  </si>
  <si>
    <t>VISA TYPES</t>
  </si>
  <si>
    <t>VISAVN</t>
  </si>
  <si>
    <t xml:space="preserve">영문 </t>
  </si>
  <si>
    <t>호적주소 ：</t>
  </si>
  <si>
    <t>현주소：</t>
  </si>
  <si>
    <t xml:space="preserve">가족을 입력하세요 </t>
  </si>
  <si>
    <t xml:space="preserve">관계 </t>
  </si>
  <si>
    <t>취학이유</t>
  </si>
  <si>
    <t>상세하게 작성하십시오</t>
  </si>
  <si>
    <t>신청인 사인</t>
  </si>
  <si>
    <t>VISACN</t>
  </si>
  <si>
    <t>氏名（英字）</t>
  </si>
  <si>
    <t>家族を記入してください</t>
  </si>
  <si>
    <t>（具体的に書いてください）</t>
  </si>
  <si>
    <t>VISAEN</t>
  </si>
  <si>
    <t>VISAKR</t>
  </si>
  <si>
    <t>EDUCATIONAL BACKGROUND ( SCHOOLINFO )</t>
  </si>
  <si>
    <t>VISAJP</t>
  </si>
  <si>
    <t>Quá trình học tập</t>
  </si>
  <si>
    <t>(Từ tiểu học đến cấp bậc cuối cùng)</t>
  </si>
  <si>
    <t>Tên trường</t>
  </si>
  <si>
    <t>Loai trường học</t>
  </si>
  <si>
    <t>Địa chỉ trường</t>
  </si>
  <si>
    <t>Ngày nhập học</t>
  </si>
  <si>
    <t>Ngày tốt nghiệp</t>
  </si>
  <si>
    <t>Số năm học</t>
  </si>
  <si>
    <t>Trường tiếng Nhật đã học</t>
  </si>
  <si>
    <t>Năng lực tiếng Nhật</t>
  </si>
  <si>
    <t>(Hãy chọn bài kiểm tra từ danh sách)</t>
  </si>
  <si>
    <t>Không đậu</t>
  </si>
  <si>
    <t>Đậu</t>
  </si>
  <si>
    <t>đang chờ kết quả thi</t>
  </si>
  <si>
    <t>Ngày dự thi</t>
  </si>
  <si>
    <t>Loại</t>
  </si>
  <si>
    <t>Mức độ</t>
  </si>
  <si>
    <t>Kết quả</t>
  </si>
  <si>
    <t>Điểm</t>
  </si>
  <si>
    <t>COUNTRY LISTS</t>
  </si>
  <si>
    <t>COUNTRYVN</t>
  </si>
  <si>
    <t>VN</t>
  </si>
  <si>
    <t>学　历</t>
  </si>
  <si>
    <t>（小学～最终学历）</t>
  </si>
  <si>
    <t>学校名</t>
  </si>
  <si>
    <t>学校类型</t>
  </si>
  <si>
    <t>所在地</t>
  </si>
  <si>
    <t>入学时间</t>
  </si>
  <si>
    <t>毕业时间</t>
  </si>
  <si>
    <t>总教育经历年数</t>
  </si>
  <si>
    <t>日语学习经历</t>
  </si>
  <si>
    <t>日语能力</t>
  </si>
  <si>
    <t>(请从以下列表中选择已考过的日语考试)</t>
  </si>
  <si>
    <t>等结果</t>
  </si>
  <si>
    <t>考试日期</t>
  </si>
  <si>
    <t>考试</t>
  </si>
  <si>
    <t>等级</t>
  </si>
  <si>
    <t>结果</t>
  </si>
  <si>
    <t>分数</t>
  </si>
  <si>
    <t>COUNTRYCN</t>
  </si>
  <si>
    <t>Educational History</t>
  </si>
  <si>
    <t>(From elementary/primary school to university)</t>
  </si>
  <si>
    <t>School Name</t>
  </si>
  <si>
    <t>School Type</t>
  </si>
  <si>
    <t>School Address</t>
  </si>
  <si>
    <t>Entrance Date (Y/M/D)</t>
  </si>
  <si>
    <t>Graduation Date (Y/M/D)</t>
  </si>
  <si>
    <t>Total years of education</t>
  </si>
  <si>
    <t>years</t>
  </si>
  <si>
    <t>Japanese Study History</t>
  </si>
  <si>
    <t>Japanese Ability</t>
  </si>
  <si>
    <t>(Please enter any of the tests you have completed from the dropdown list)</t>
  </si>
  <si>
    <t>Failed</t>
  </si>
  <si>
    <t>Passed</t>
  </si>
  <si>
    <t>Awaiting Result</t>
  </si>
  <si>
    <t>Date of Examination (Y/M/D)</t>
  </si>
  <si>
    <t>Type of Test</t>
  </si>
  <si>
    <t>Level</t>
  </si>
  <si>
    <t>Result</t>
  </si>
  <si>
    <t>Score</t>
  </si>
  <si>
    <t>COUNTRYEN</t>
  </si>
  <si>
    <t>학력</t>
  </si>
  <si>
    <t>초등학교부터 최종학력까지</t>
  </si>
  <si>
    <t>학교명</t>
  </si>
  <si>
    <t>학교종류</t>
  </si>
  <si>
    <t>입학날짜</t>
  </si>
  <si>
    <t>졸업날짜</t>
  </si>
  <si>
    <t xml:space="preserve">취학년수 </t>
  </si>
  <si>
    <t>년</t>
  </si>
  <si>
    <t>일본어학습경력</t>
  </si>
  <si>
    <t>일본어능력</t>
  </si>
  <si>
    <t>리스트에서 시험종류를 선택하세요</t>
  </si>
  <si>
    <t>불합격</t>
  </si>
  <si>
    <t>합격</t>
  </si>
  <si>
    <t>결과 기다림</t>
  </si>
  <si>
    <t>수험날짜</t>
  </si>
  <si>
    <t xml:space="preserve">시험 </t>
  </si>
  <si>
    <t xml:space="preserve">레벨 </t>
  </si>
  <si>
    <t>결과</t>
  </si>
  <si>
    <t xml:space="preserve">점수 </t>
  </si>
  <si>
    <t>COUNTRYKR</t>
  </si>
  <si>
    <t>CN</t>
  </si>
  <si>
    <t>学　歴</t>
  </si>
  <si>
    <t>（小学校から最終学歴まで）</t>
  </si>
  <si>
    <t>学校種別</t>
  </si>
  <si>
    <t>入学日</t>
  </si>
  <si>
    <t>卒業日</t>
  </si>
  <si>
    <t>修学年数</t>
  </si>
  <si>
    <t>（リストから試験を選んでください）</t>
  </si>
  <si>
    <t>COUNTRYJP</t>
  </si>
  <si>
    <t>MAJORSVN</t>
  </si>
  <si>
    <t>WORKPLACE INFORMATION ( WORKINFO)</t>
  </si>
  <si>
    <t>MAJORSCN</t>
  </si>
  <si>
    <t>EN</t>
  </si>
  <si>
    <t>Lý lịch làm việc</t>
  </si>
  <si>
    <t>(Ngoại trừ công việc làm thêm)</t>
  </si>
  <si>
    <t>Tên công ty</t>
  </si>
  <si>
    <t>Địa chỉ công ty</t>
  </si>
  <si>
    <t>Ngày vào công ty</t>
  </si>
  <si>
    <t>Ngày nghỉ việc</t>
  </si>
  <si>
    <t>MAJORSEN</t>
  </si>
  <si>
    <t>工作经历</t>
  </si>
  <si>
    <t>（只写全职工作经历，不写兼职工作经历）</t>
  </si>
  <si>
    <t>公司名</t>
  </si>
  <si>
    <t>入职时间</t>
  </si>
  <si>
    <t>辞职时间</t>
  </si>
  <si>
    <t>MAJORSKR</t>
  </si>
  <si>
    <t>Career History</t>
  </si>
  <si>
    <t>(Please enter any full-time work experience)</t>
  </si>
  <si>
    <t>Workplace / Company Name</t>
  </si>
  <si>
    <t>Work Address</t>
  </si>
  <si>
    <t>Start Date (Y/M/D)</t>
  </si>
  <si>
    <t>Finish Date (Y/M/D)</t>
  </si>
  <si>
    <t>MAJORSJP</t>
  </si>
  <si>
    <t>KR</t>
  </si>
  <si>
    <t>직업 경력</t>
  </si>
  <si>
    <t>(아르바이트 제외)</t>
  </si>
  <si>
    <t>회사명</t>
  </si>
  <si>
    <t>주소</t>
  </si>
  <si>
    <t xml:space="preserve">입사날짜 </t>
  </si>
  <si>
    <t xml:space="preserve">퇴사날짜 </t>
  </si>
  <si>
    <t>JOBSVN</t>
  </si>
  <si>
    <t>（アルバイトを除く）</t>
  </si>
  <si>
    <t>会社名</t>
  </si>
  <si>
    <t>入社年月</t>
  </si>
  <si>
    <t>退社年月</t>
  </si>
  <si>
    <t>JOBSCN</t>
  </si>
  <si>
    <t>JOBSEN</t>
  </si>
  <si>
    <t>JP</t>
  </si>
  <si>
    <t>RELATIVES IN JAPAN ( RELATIVEINFO )</t>
  </si>
  <si>
    <t>JOBSKR</t>
  </si>
  <si>
    <t>Có gia đình ở Nhật Bản</t>
  </si>
  <si>
    <t>Nếu có</t>
  </si>
  <si>
    <t>Mối quan hệ</t>
  </si>
  <si>
    <t>Có dự định sống cùng không?</t>
  </si>
  <si>
    <t>Số thẻ ngoại kiều</t>
  </si>
  <si>
    <t>Địa điểm làm việc/Trường</t>
  </si>
  <si>
    <t>JOBSJP</t>
  </si>
  <si>
    <t xml:space="preserve">在日亲属 </t>
  </si>
  <si>
    <t>有亲戚的情况</t>
  </si>
  <si>
    <t>出生日期 (年/月/日)</t>
  </si>
  <si>
    <t>关　　系</t>
  </si>
  <si>
    <t>是否共同居住</t>
  </si>
  <si>
    <t>在留卡号码</t>
  </si>
  <si>
    <t>工作单位/学校名称</t>
  </si>
  <si>
    <t>SCHOOLVN</t>
  </si>
  <si>
    <t>Relatives in Japan</t>
  </si>
  <si>
    <t>(If applicable)</t>
  </si>
  <si>
    <t>Status of Residence</t>
  </si>
  <si>
    <t>Intend to live together</t>
  </si>
  <si>
    <t>Resident Card Number</t>
  </si>
  <si>
    <t>Work or School Name</t>
  </si>
  <si>
    <t>SCHOOLCN</t>
  </si>
  <si>
    <t>SPONSOR &amp; CONVERSION</t>
  </si>
  <si>
    <t xml:space="preserve">재일친척 </t>
  </si>
  <si>
    <t xml:space="preserve">있는 경우 </t>
  </si>
  <si>
    <t>생년월일</t>
  </si>
  <si>
    <t>관계</t>
  </si>
  <si>
    <t>동거예정</t>
  </si>
  <si>
    <t>재류카드번호</t>
  </si>
  <si>
    <t>근무지/통학지</t>
  </si>
  <si>
    <t>SCHOOLEN</t>
  </si>
  <si>
    <t>Cha</t>
  </si>
  <si>
    <t>父</t>
  </si>
  <si>
    <t>Mẹ</t>
  </si>
  <si>
    <t xml:space="preserve"> （いれば）</t>
  </si>
  <si>
    <t>生年月日 (年/月/日)</t>
  </si>
  <si>
    <t>続　　柄</t>
  </si>
  <si>
    <t>SCHOOLKR</t>
  </si>
  <si>
    <t>母</t>
  </si>
  <si>
    <t>SCHOOLJP</t>
  </si>
  <si>
    <t>SPONSOR INFORMATION ( SPONSORINFO )</t>
  </si>
  <si>
    <t>GENDERVN</t>
  </si>
  <si>
    <t>Người trả kinh phí</t>
  </si>
  <si>
    <t>Phần dành cho người trả kinh phí</t>
  </si>
  <si>
    <t>(Hãy điền vào trong trường hợp bạn là người chi trả kinh phí)</t>
  </si>
  <si>
    <t xml:space="preserve">Quan hệ </t>
  </si>
  <si>
    <t>Quốc gia sinh sống</t>
  </si>
  <si>
    <t>Sống chung</t>
  </si>
  <si>
    <t>Chuyên ngành của công ty</t>
  </si>
  <si>
    <t>Số điện thoại của công ty</t>
  </si>
  <si>
    <t>Chức vụ</t>
  </si>
  <si>
    <t>Thu nhập trong 1 năm</t>
  </si>
  <si>
    <t>GENDERCN</t>
  </si>
  <si>
    <t>关于支付人</t>
  </si>
  <si>
    <t>经费支付人信息</t>
  </si>
  <si>
    <t>(如果是自己支付，请填上本人信息)</t>
  </si>
  <si>
    <t>同申请者的关系</t>
  </si>
  <si>
    <t>同　　居</t>
  </si>
  <si>
    <t>电话号码</t>
  </si>
  <si>
    <t>工作单位的经营项目</t>
  </si>
  <si>
    <t>工作单位电话号码</t>
  </si>
  <si>
    <t>职　　务</t>
  </si>
  <si>
    <t>年　收</t>
  </si>
  <si>
    <t>GENDEREN</t>
  </si>
  <si>
    <t>About the Supporter</t>
  </si>
  <si>
    <t>Financial Sponsor Information</t>
  </si>
  <si>
    <t>(If you self-sponsor, please enter your information)</t>
  </si>
  <si>
    <t>Relationship to Applicant</t>
  </si>
  <si>
    <t>Country of Residence</t>
  </si>
  <si>
    <t>Living with Supporter</t>
  </si>
  <si>
    <t>Telephone Numbers</t>
  </si>
  <si>
    <t>Business Type / Industry</t>
  </si>
  <si>
    <t>Work Telephone Number</t>
  </si>
  <si>
    <t>Position at Company</t>
  </si>
  <si>
    <t>Annual Income</t>
  </si>
  <si>
    <t>GENDERKR</t>
  </si>
  <si>
    <t>스폰서</t>
  </si>
  <si>
    <t>스폰서정보</t>
  </si>
  <si>
    <t>(스폰서가 본인인 경우 본인의 정보를 입력하십시오)</t>
  </si>
  <si>
    <t>신청인과의 관계</t>
  </si>
  <si>
    <t xml:space="preserve">거주국 </t>
  </si>
  <si>
    <t xml:space="preserve">동거 </t>
  </si>
  <si>
    <t>회사업무내용</t>
  </si>
  <si>
    <t>회사 전화번호</t>
  </si>
  <si>
    <t xml:space="preserve">직무 </t>
  </si>
  <si>
    <t>년수입</t>
  </si>
  <si>
    <t>GENDERJP</t>
  </si>
  <si>
    <t>Father</t>
  </si>
  <si>
    <t>Mother</t>
  </si>
  <si>
    <t>経費支弁者の情報</t>
  </si>
  <si>
    <t>（本人支弁の場合、記入してください）</t>
  </si>
  <si>
    <t>会社の業務内容</t>
  </si>
  <si>
    <t>勤務先電話</t>
  </si>
  <si>
    <t>職　　務</t>
  </si>
  <si>
    <t>年　収</t>
  </si>
  <si>
    <t>PLANVN</t>
  </si>
  <si>
    <t>PLANCN</t>
  </si>
  <si>
    <t>Myself</t>
  </si>
  <si>
    <t>本人</t>
  </si>
  <si>
    <t>PLANEN</t>
  </si>
  <si>
    <t>부</t>
  </si>
  <si>
    <t>Họ và tên</t>
  </si>
  <si>
    <t>Chữ Hán</t>
  </si>
  <si>
    <t>PLANKR</t>
  </si>
  <si>
    <t>모</t>
  </si>
  <si>
    <t>（汉字）</t>
  </si>
  <si>
    <t>（拼音）</t>
  </si>
  <si>
    <t>PLANJP</t>
  </si>
  <si>
    <t>Chinese Characters</t>
  </si>
  <si>
    <t>STATUS</t>
  </si>
  <si>
    <t>STATUSVN</t>
  </si>
  <si>
    <t>한자</t>
  </si>
  <si>
    <t>문자</t>
  </si>
  <si>
    <t>STATUSCN</t>
  </si>
  <si>
    <t>STATUSEN</t>
  </si>
  <si>
    <t>STATUSKR</t>
  </si>
  <si>
    <t>COUNTRY, PHONE CODE &amp; CURRENCY LIST</t>
  </si>
  <si>
    <t>COUNTRY</t>
  </si>
  <si>
    <t>TRANSLATION</t>
  </si>
  <si>
    <t>PHONE CODE</t>
  </si>
  <si>
    <t>CURRENCY</t>
  </si>
  <si>
    <t>INFORMATION ( FORMINFO )</t>
  </si>
  <si>
    <t>STATUSJP</t>
  </si>
  <si>
    <t>Việt nam</t>
  </si>
  <si>
    <t>ベトナム</t>
  </si>
  <si>
    <t>(+84)</t>
  </si>
  <si>
    <t>VND</t>
  </si>
  <si>
    <t>Ngày làm đơn：</t>
  </si>
  <si>
    <r>
      <rPr>
        <sz val="11"/>
        <color theme="1"/>
        <rFont val="Calibri Light"/>
        <family val="2"/>
        <scheme val="major"/>
      </rPr>
      <t>Th</t>
    </r>
    <r>
      <rPr>
        <sz val="11"/>
        <color theme="1"/>
        <rFont val="Calibri"/>
        <family val="2"/>
      </rPr>
      <t>ờ</t>
    </r>
    <r>
      <rPr>
        <sz val="11"/>
        <color theme="1"/>
        <rFont val="Calibri Light"/>
        <family val="2"/>
        <scheme val="major"/>
      </rPr>
      <t>i gian hi</t>
    </r>
    <r>
      <rPr>
        <sz val="11"/>
        <color theme="1"/>
        <rFont val="Calibri"/>
        <family val="2"/>
      </rPr>
      <t>ệ</t>
    </r>
    <r>
      <rPr>
        <sz val="11"/>
        <color theme="1"/>
        <rFont val="Calibri Light"/>
        <family val="2"/>
        <scheme val="major"/>
      </rPr>
      <t>u l</t>
    </r>
    <r>
      <rPr>
        <sz val="11"/>
        <color theme="1"/>
        <rFont val="Calibri"/>
        <family val="2"/>
      </rPr>
      <t>ự</t>
    </r>
    <r>
      <rPr>
        <sz val="11"/>
        <color theme="1"/>
        <rFont val="Calibri Light"/>
        <family val="2"/>
        <scheme val="major"/>
      </rPr>
      <t>c</t>
    </r>
  </si>
  <si>
    <t>Cấp độ</t>
  </si>
  <si>
    <t>Thông tin người trả phí</t>
  </si>
  <si>
    <t>(Hãy điền vào trong trường hợp học sinh tự chi trả kinh phí)</t>
  </si>
  <si>
    <t>Có người thân ở Nhật không?</t>
  </si>
  <si>
    <t>Viết chi tiết</t>
  </si>
  <si>
    <t>Tên học sinh</t>
  </si>
  <si>
    <t>Địa chỉ thường trú</t>
  </si>
  <si>
    <t>Địa chỉ hiện tại</t>
  </si>
  <si>
    <t>Ngày làm đơn</t>
  </si>
  <si>
    <t>SỐ LẦN ĐÃ ĐẾN NHẬT BẢN</t>
  </si>
  <si>
    <r>
      <rPr>
        <sz val="11"/>
        <color theme="1"/>
        <rFont val="Calibri Light"/>
        <family val="2"/>
        <scheme val="major"/>
      </rPr>
      <t>Đ</t>
    </r>
    <r>
      <rPr>
        <sz val="11"/>
        <color theme="1"/>
        <rFont val="Calibri"/>
        <family val="2"/>
      </rPr>
      <t>ị</t>
    </r>
    <r>
      <rPr>
        <sz val="11"/>
        <color theme="1"/>
        <rFont val="Calibri Light"/>
        <family val="2"/>
        <scheme val="major"/>
      </rPr>
      <t>a ch</t>
    </r>
    <r>
      <rPr>
        <sz val="11"/>
        <color theme="1"/>
        <rFont val="Calibri"/>
        <family val="2"/>
      </rPr>
      <t>ỉ</t>
    </r>
    <r>
      <rPr>
        <sz val="11"/>
        <color theme="1"/>
        <rFont val="Calibri Light"/>
        <family val="2"/>
        <scheme val="major"/>
      </rPr>
      <t xml:space="preserve"> </t>
    </r>
  </si>
  <si>
    <r>
      <rPr>
        <sz val="11"/>
        <color theme="1"/>
        <rFont val="Calibri Light"/>
        <family val="2"/>
        <scheme val="major"/>
      </rPr>
      <t>Tên công ty gi</t>
    </r>
    <r>
      <rPr>
        <sz val="11"/>
        <color theme="1"/>
        <rFont val="Calibri"/>
        <family val="2"/>
      </rPr>
      <t>ớ</t>
    </r>
    <r>
      <rPr>
        <sz val="11"/>
        <color theme="1"/>
        <rFont val="Calibri Light"/>
        <family val="2"/>
        <scheme val="major"/>
      </rPr>
      <t>i thi</t>
    </r>
    <r>
      <rPr>
        <sz val="11"/>
        <color theme="1"/>
        <rFont val="Calibri"/>
        <family val="2"/>
      </rPr>
      <t>ệ</t>
    </r>
    <r>
      <rPr>
        <sz val="11"/>
        <color theme="1"/>
        <rFont val="Calibri Light"/>
        <family val="2"/>
        <scheme val="major"/>
      </rPr>
      <t>u</t>
    </r>
  </si>
  <si>
    <t>TESTSVN</t>
  </si>
  <si>
    <t>(+86)</t>
  </si>
  <si>
    <t>CNY</t>
  </si>
  <si>
    <t>有效期</t>
  </si>
  <si>
    <t>级</t>
  </si>
  <si>
    <t>同　居</t>
  </si>
  <si>
    <t>职　　　务</t>
  </si>
  <si>
    <t>年　　　收</t>
  </si>
  <si>
    <t>关　系</t>
  </si>
  <si>
    <t>制表时间</t>
  </si>
  <si>
    <t>入国回数</t>
  </si>
  <si>
    <t>中介公司地址</t>
  </si>
  <si>
    <t>中介公司名</t>
  </si>
  <si>
    <t>TESTSCN</t>
  </si>
  <si>
    <t>香港</t>
  </si>
  <si>
    <t>(+852)</t>
  </si>
  <si>
    <t>HKD</t>
  </si>
  <si>
    <t>Date：</t>
  </si>
  <si>
    <t>Full Name (Chinese)</t>
  </si>
  <si>
    <t>Date of Birth</t>
  </si>
  <si>
    <t>Age</t>
  </si>
  <si>
    <t>Recruiting Agency Name</t>
  </si>
  <si>
    <t>Validity Period</t>
  </si>
  <si>
    <t>Have you ever applied for a Japanese visa??</t>
  </si>
  <si>
    <t>Arrival Date</t>
  </si>
  <si>
    <t>Departure Date</t>
  </si>
  <si>
    <t>Workplace Name</t>
  </si>
  <si>
    <t>Start Date</t>
  </si>
  <si>
    <t>Finish Date</t>
  </si>
  <si>
    <t>Entrance Date</t>
  </si>
  <si>
    <t>Graduation Date</t>
  </si>
  <si>
    <t>Grade</t>
  </si>
  <si>
    <t>Exam Date</t>
  </si>
  <si>
    <t>Creation Date</t>
  </si>
  <si>
    <t>How many times have you been to Japan?</t>
  </si>
  <si>
    <t>Full Agency Address</t>
  </si>
  <si>
    <t>Recruitment Agency Name</t>
  </si>
  <si>
    <t>TESTSEN</t>
  </si>
  <si>
    <t>澳门</t>
  </si>
  <si>
    <t>マカオ</t>
  </si>
  <si>
    <t>(+853)</t>
  </si>
  <si>
    <t>MOP</t>
  </si>
  <si>
    <t>날짜 ：</t>
  </si>
  <si>
    <r>
      <rPr>
        <sz val="11"/>
        <color theme="1"/>
        <rFont val="Malgun Gothic"/>
        <family val="2"/>
        <charset val="129"/>
      </rPr>
      <t>유효</t>
    </r>
    <r>
      <rPr>
        <sz val="11"/>
        <color theme="1"/>
        <rFont val="Calibri"/>
        <family val="2"/>
      </rPr>
      <t xml:space="preserve"> </t>
    </r>
    <r>
      <rPr>
        <sz val="11"/>
        <color theme="1"/>
        <rFont val="Malgun Gothic"/>
        <family val="2"/>
        <charset val="129"/>
      </rPr>
      <t>기간</t>
    </r>
  </si>
  <si>
    <t xml:space="preserve">급 </t>
  </si>
  <si>
    <t xml:space="preserve">호적주소 </t>
  </si>
  <si>
    <t>현주소</t>
  </si>
  <si>
    <t>작성날짜</t>
  </si>
  <si>
    <t xml:space="preserve">입국횟수 </t>
  </si>
  <si>
    <r>
      <rPr>
        <sz val="11"/>
        <color theme="1"/>
        <rFont val="Malgun Gothic"/>
        <family val="2"/>
        <charset val="129"/>
      </rPr>
      <t>중개업자</t>
    </r>
    <r>
      <rPr>
        <sz val="11"/>
        <color theme="1"/>
        <rFont val="Calibri"/>
        <family val="2"/>
      </rPr>
      <t xml:space="preserve"> </t>
    </r>
    <r>
      <rPr>
        <sz val="11"/>
        <color theme="1"/>
        <rFont val="Malgun Gothic"/>
        <family val="2"/>
        <charset val="129"/>
      </rPr>
      <t>주소</t>
    </r>
  </si>
  <si>
    <t>중개업자명</t>
  </si>
  <si>
    <t>TESTSKR</t>
  </si>
  <si>
    <t>台湾</t>
  </si>
  <si>
    <t>(+886)</t>
  </si>
  <si>
    <t>TWD</t>
  </si>
  <si>
    <t>TESTSJP</t>
  </si>
  <si>
    <t>Albania</t>
  </si>
  <si>
    <t>アルバニア</t>
  </si>
  <si>
    <t>(+355)</t>
  </si>
  <si>
    <t>ALL</t>
  </si>
  <si>
    <t>REASON FOR VISITING</t>
  </si>
  <si>
    <t>REASONVN</t>
  </si>
  <si>
    <t>Andorra</t>
  </si>
  <si>
    <t>アンドラ</t>
  </si>
  <si>
    <t>(+376)</t>
  </si>
  <si>
    <t>EUR</t>
  </si>
  <si>
    <t>RESUME 2 ( RESUMEINFO )</t>
  </si>
  <si>
    <t>REASONCN</t>
  </si>
  <si>
    <t>Anguilla</t>
  </si>
  <si>
    <t>アンギラ</t>
  </si>
  <si>
    <t>(+1)</t>
  </si>
  <si>
    <t>XCD</t>
  </si>
  <si>
    <t>Dự định sau khi tốt nghiệp</t>
  </si>
  <si>
    <t>Tiếp tục học tại Nhật bản</t>
  </si>
  <si>
    <t>Tên trường muốn học</t>
  </si>
  <si>
    <t>Tên chuyên ngành muốn học</t>
  </si>
  <si>
    <t>Làm việc tại Nhật</t>
  </si>
  <si>
    <t>Trở về nước</t>
  </si>
  <si>
    <t>Khác</t>
  </si>
  <si>
    <t>Bạn đã từng bị cục lưu trú Nhật Bản trục xuất về nước hoặc đã từng có tiền án tiền sự?</t>
  </si>
  <si>
    <t>Bạn đã từng có visa du học hoặc đã từng có visa khác chưa?</t>
  </si>
  <si>
    <t>Bạn đã từng bị bắt giam hoặc phạm tội trong hay ngoài Nhật Bản?</t>
  </si>
  <si>
    <t>Gia đình</t>
  </si>
  <si>
    <r>
      <rPr>
        <sz val="11"/>
        <color theme="1"/>
        <rFont val="Calibri Light"/>
        <family val="2"/>
        <scheme val="major"/>
      </rPr>
      <t>Đã t</t>
    </r>
    <r>
      <rPr>
        <sz val="11"/>
        <color theme="1"/>
        <rFont val="Calibri"/>
        <family val="2"/>
      </rPr>
      <t>ừ</t>
    </r>
    <r>
      <rPr>
        <sz val="11"/>
        <color theme="1"/>
        <rFont val="Calibri Light"/>
        <family val="2"/>
        <scheme val="major"/>
      </rPr>
      <t>ng n</t>
    </r>
    <r>
      <rPr>
        <sz val="11"/>
        <color theme="1"/>
        <rFont val="Calibri"/>
        <family val="2"/>
      </rPr>
      <t>ộ</t>
    </r>
    <r>
      <rPr>
        <sz val="11"/>
        <color theme="1"/>
        <rFont val="Calibri Light"/>
        <family val="2"/>
        <scheme val="major"/>
      </rPr>
      <t>p xin t</t>
    </r>
    <r>
      <rPr>
        <sz val="11"/>
        <color theme="1"/>
        <rFont val="Segoe UI"/>
        <family val="2"/>
      </rPr>
      <t>ư</t>
    </r>
    <r>
      <rPr>
        <sz val="11"/>
        <color theme="1"/>
        <rFont val="Calibri Light"/>
        <family val="2"/>
        <scheme val="major"/>
      </rPr>
      <t xml:space="preserve"> cách l</t>
    </r>
    <r>
      <rPr>
        <sz val="11"/>
        <color theme="1"/>
        <rFont val="Segoe UI"/>
        <family val="2"/>
      </rPr>
      <t>ư</t>
    </r>
    <r>
      <rPr>
        <sz val="11"/>
        <color theme="1"/>
        <rFont val="Calibri Light"/>
        <family val="2"/>
        <scheme val="major"/>
      </rPr>
      <t>u trú ch</t>
    </r>
    <r>
      <rPr>
        <sz val="11"/>
        <color theme="1"/>
        <rFont val="Segoe UI"/>
        <family val="2"/>
      </rPr>
      <t>ư</t>
    </r>
    <r>
      <rPr>
        <sz val="11"/>
        <color theme="1"/>
        <rFont val="Calibri Light"/>
        <family val="2"/>
        <scheme val="major"/>
      </rPr>
      <t>a?</t>
    </r>
  </si>
  <si>
    <r>
      <rPr>
        <sz val="11"/>
        <color theme="1"/>
        <rFont val="Calibri Light"/>
        <family val="2"/>
        <scheme val="major"/>
      </rPr>
      <t>（Tr</t>
    </r>
    <r>
      <rPr>
        <sz val="11"/>
        <color theme="1"/>
        <rFont val="Segoe UI"/>
        <family val="2"/>
      </rPr>
      <t>ư</t>
    </r>
    <r>
      <rPr>
        <sz val="11"/>
        <color theme="1"/>
        <rFont val="Calibri"/>
        <family val="2"/>
      </rPr>
      <t>ờ</t>
    </r>
    <r>
      <rPr>
        <sz val="11"/>
        <color theme="1"/>
        <rFont val="Calibri Light"/>
        <family val="2"/>
        <scheme val="major"/>
      </rPr>
      <t>ng h</t>
    </r>
    <r>
      <rPr>
        <sz val="11"/>
        <color theme="1"/>
        <rFont val="Calibri"/>
        <family val="2"/>
      </rPr>
      <t>ợ</t>
    </r>
    <r>
      <rPr>
        <sz val="11"/>
        <color theme="1"/>
        <rFont val="Calibri Light"/>
        <family val="2"/>
        <scheme val="major"/>
      </rPr>
      <t>p 2 câu h</t>
    </r>
    <r>
      <rPr>
        <sz val="11"/>
        <color theme="1"/>
        <rFont val="Calibri"/>
        <family val="2"/>
      </rPr>
      <t>ỏ</t>
    </r>
    <r>
      <rPr>
        <sz val="11"/>
        <color theme="1"/>
        <rFont val="Calibri Light"/>
        <family val="2"/>
        <scheme val="major"/>
      </rPr>
      <t>i trên ch</t>
    </r>
    <r>
      <rPr>
        <sz val="11"/>
        <color theme="1"/>
        <rFont val="Calibri"/>
        <family val="2"/>
      </rPr>
      <t>ọ</t>
    </r>
    <r>
      <rPr>
        <sz val="11"/>
        <color theme="1"/>
        <rFont val="Calibri Light"/>
        <family val="2"/>
        <scheme val="major"/>
      </rPr>
      <t>n Có）</t>
    </r>
  </si>
  <si>
    <r>
      <rPr>
        <sz val="11"/>
        <color theme="1"/>
        <rFont val="Calibri Light"/>
        <family val="2"/>
        <scheme val="major"/>
      </rPr>
      <t>（S</t>
    </r>
    <r>
      <rPr>
        <sz val="11"/>
        <color theme="1"/>
        <rFont val="Calibri"/>
        <family val="2"/>
      </rPr>
      <t>ố</t>
    </r>
    <r>
      <rPr>
        <sz val="11"/>
        <color theme="1"/>
        <rFont val="Calibri Light"/>
        <family val="2"/>
        <scheme val="major"/>
      </rPr>
      <t xml:space="preserve"> l</t>
    </r>
    <r>
      <rPr>
        <sz val="11"/>
        <color theme="1"/>
        <rFont val="Calibri"/>
        <family val="2"/>
      </rPr>
      <t>ầ</t>
    </r>
    <r>
      <rPr>
        <sz val="11"/>
        <color theme="1"/>
        <rFont val="Calibri Light"/>
        <family val="2"/>
        <scheme val="major"/>
      </rPr>
      <t>n tr</t>
    </r>
    <r>
      <rPr>
        <sz val="11"/>
        <color theme="1"/>
        <rFont val="Segoe UI"/>
        <family val="2"/>
      </rPr>
      <t>ư</t>
    </r>
    <r>
      <rPr>
        <sz val="11"/>
        <color theme="1"/>
        <rFont val="Calibri"/>
        <family val="2"/>
      </rPr>
      <t>ợ</t>
    </r>
    <r>
      <rPr>
        <sz val="11"/>
        <color theme="1"/>
        <rFont val="Calibri Light"/>
        <family val="2"/>
        <scheme val="major"/>
      </rPr>
      <t>t t</t>
    </r>
    <r>
      <rPr>
        <sz val="11"/>
        <color theme="1"/>
        <rFont val="Segoe UI"/>
        <family val="2"/>
      </rPr>
      <t>ư</t>
    </r>
    <r>
      <rPr>
        <sz val="11"/>
        <color theme="1"/>
        <rFont val="Calibri Light"/>
        <family val="2"/>
        <scheme val="major"/>
      </rPr>
      <t xml:space="preserve"> cách l</t>
    </r>
    <r>
      <rPr>
        <sz val="11"/>
        <color theme="1"/>
        <rFont val="Segoe UI"/>
        <family val="2"/>
      </rPr>
      <t>ư</t>
    </r>
    <r>
      <rPr>
        <sz val="11"/>
        <color theme="1"/>
        <rFont val="Calibri Light"/>
        <family val="2"/>
        <scheme val="major"/>
      </rPr>
      <t>u trú）</t>
    </r>
  </si>
  <si>
    <r>
      <rPr>
        <sz val="11"/>
        <color theme="1"/>
        <rFont val="Calibri Light"/>
        <family val="2"/>
        <scheme val="major"/>
      </rPr>
      <t>S</t>
    </r>
    <r>
      <rPr>
        <sz val="11"/>
        <color theme="1"/>
        <rFont val="Calibri"/>
        <family val="2"/>
      </rPr>
      <t>ố</t>
    </r>
    <r>
      <rPr>
        <sz val="11"/>
        <color theme="1"/>
        <rFont val="Calibri Light"/>
        <family val="2"/>
        <scheme val="major"/>
      </rPr>
      <t xml:space="preserve"> l</t>
    </r>
    <r>
      <rPr>
        <sz val="11"/>
        <color theme="1"/>
        <rFont val="Calibri"/>
        <family val="2"/>
      </rPr>
      <t>ầ</t>
    </r>
    <r>
      <rPr>
        <sz val="11"/>
        <color theme="1"/>
        <rFont val="Calibri Light"/>
        <family val="2"/>
        <scheme val="major"/>
      </rPr>
      <t>n tr</t>
    </r>
    <r>
      <rPr>
        <sz val="11"/>
        <color theme="1"/>
        <rFont val="Segoe UI"/>
        <family val="2"/>
      </rPr>
      <t>ư</t>
    </r>
    <r>
      <rPr>
        <sz val="11"/>
        <color theme="1"/>
        <rFont val="Calibri"/>
        <family val="2"/>
      </rPr>
      <t>ợ</t>
    </r>
    <r>
      <rPr>
        <sz val="11"/>
        <color theme="1"/>
        <rFont val="Calibri Light"/>
        <family val="2"/>
        <scheme val="major"/>
      </rPr>
      <t>t t</t>
    </r>
    <r>
      <rPr>
        <sz val="11"/>
        <color theme="1"/>
        <rFont val="Segoe UI"/>
        <family val="2"/>
      </rPr>
      <t>ư</t>
    </r>
    <r>
      <rPr>
        <sz val="11"/>
        <color theme="1"/>
        <rFont val="Calibri Light"/>
        <family val="2"/>
        <scheme val="major"/>
      </rPr>
      <t xml:space="preserve"> cách l</t>
    </r>
    <r>
      <rPr>
        <sz val="11"/>
        <color theme="1"/>
        <rFont val="Segoe UI"/>
        <family val="2"/>
      </rPr>
      <t>ư</t>
    </r>
    <r>
      <rPr>
        <sz val="11"/>
        <color theme="1"/>
        <rFont val="Calibri Light"/>
        <family val="2"/>
        <scheme val="major"/>
      </rPr>
      <t>u trú</t>
    </r>
  </si>
  <si>
    <r>
      <rPr>
        <sz val="11"/>
        <color theme="1"/>
        <rFont val="Calibri Light"/>
        <family val="2"/>
        <scheme val="major"/>
      </rPr>
      <t>L</t>
    </r>
    <r>
      <rPr>
        <sz val="11"/>
        <color theme="1"/>
        <rFont val="Calibri"/>
        <family val="2"/>
      </rPr>
      <t>ầ</t>
    </r>
    <r>
      <rPr>
        <sz val="11"/>
        <color theme="1"/>
        <rFont val="Calibri Light"/>
        <family val="2"/>
        <scheme val="major"/>
      </rPr>
      <t>n</t>
    </r>
  </si>
  <si>
    <t>REASONEN</t>
  </si>
  <si>
    <t>Antigua &amp; Barbuda</t>
  </si>
  <si>
    <t>アンティグアバーブーダ</t>
  </si>
  <si>
    <t>毕业后计划</t>
  </si>
  <si>
    <t>在日升学</t>
  </si>
  <si>
    <t>志愿学校</t>
  </si>
  <si>
    <t>志愿专业</t>
  </si>
  <si>
    <t>在日就职</t>
  </si>
  <si>
    <t>回国</t>
  </si>
  <si>
    <t>其他</t>
  </si>
  <si>
    <t>是否有被日本强制遣送或禁止入境的经历</t>
  </si>
  <si>
    <t>是否申请过留学或者其他签证</t>
  </si>
  <si>
    <t>在日本或者其他国家是否有过犯罪经历</t>
  </si>
  <si>
    <t>家族</t>
  </si>
  <si>
    <t>有申请过在留资格认定证明书交付申请吗？</t>
  </si>
  <si>
    <t>（以上选择（有）的 ）</t>
  </si>
  <si>
    <t>（其中不交付的次数）</t>
  </si>
  <si>
    <t xml:space="preserve">以上选择（有）的 </t>
  </si>
  <si>
    <t>其中不交付的次数</t>
  </si>
  <si>
    <t>回</t>
  </si>
  <si>
    <t>REASONKR</t>
  </si>
  <si>
    <t>Argentina</t>
  </si>
  <si>
    <t>アルゼンチン</t>
  </si>
  <si>
    <t>(+54)</t>
  </si>
  <si>
    <t>ARS</t>
  </si>
  <si>
    <t>Plans after graduation</t>
  </si>
  <si>
    <t>Study in Japan (Further Education)</t>
  </si>
  <si>
    <t>Preferred School</t>
  </si>
  <si>
    <t>Desired Department</t>
  </si>
  <si>
    <t>Work in Japan</t>
  </si>
  <si>
    <t>Return to home country</t>
  </si>
  <si>
    <t>Other Plan</t>
  </si>
  <si>
    <t>Have you ever been denied entry or forcibly removed from Japan?</t>
  </si>
  <si>
    <t>Have you every applied to study abroad or applied for a VISA?</t>
  </si>
  <si>
    <t>Have you ever been convicted of a crime in your country or in any other country?</t>
  </si>
  <si>
    <t>Family</t>
  </si>
  <si>
    <t>Have you ever applied for a Certificate of Eligibility?</t>
  </si>
  <si>
    <t>（Complete the following if the answer is "yes"）</t>
  </si>
  <si>
    <t>（Of these applications, how many were denied?）</t>
  </si>
  <si>
    <t>If "yes" how many times?</t>
  </si>
  <si>
    <t>Number of denied applications.</t>
  </si>
  <si>
    <t>times</t>
  </si>
  <si>
    <t>REASONJP</t>
  </si>
  <si>
    <t>Armenia</t>
  </si>
  <si>
    <t>アルメニア</t>
  </si>
  <si>
    <t>(+374)</t>
  </si>
  <si>
    <t>AMD</t>
  </si>
  <si>
    <t>졸업후  계획</t>
  </si>
  <si>
    <t>일본에서 진학</t>
  </si>
  <si>
    <t>진학 희망 학교</t>
  </si>
  <si>
    <t>희망 학과</t>
  </si>
  <si>
    <t>일본에서 취직</t>
  </si>
  <si>
    <t xml:space="preserve">귀국 </t>
  </si>
  <si>
    <t>기타</t>
  </si>
  <si>
    <r>
      <rPr>
        <sz val="11"/>
        <color theme="1"/>
        <rFont val="Malgun Gothic"/>
        <family val="2"/>
        <charset val="129"/>
      </rPr>
      <t>일본에서</t>
    </r>
    <r>
      <rPr>
        <sz val="11"/>
        <color theme="1"/>
        <rFont val="Calibri Light"/>
        <family val="2"/>
        <scheme val="major"/>
      </rPr>
      <t xml:space="preserve"> </t>
    </r>
    <r>
      <rPr>
        <sz val="11"/>
        <color theme="1"/>
        <rFont val="Malgun Gothic"/>
        <family val="2"/>
        <charset val="129"/>
      </rPr>
      <t>강제송환을</t>
    </r>
    <r>
      <rPr>
        <sz val="11"/>
        <color theme="1"/>
        <rFont val="Calibri Light"/>
        <family val="2"/>
        <scheme val="major"/>
      </rPr>
      <t xml:space="preserve"> </t>
    </r>
    <r>
      <rPr>
        <sz val="11"/>
        <color theme="1"/>
        <rFont val="Malgun Gothic"/>
        <family val="2"/>
        <charset val="129"/>
      </rPr>
      <t>당하거나</t>
    </r>
    <r>
      <rPr>
        <sz val="11"/>
        <color theme="1"/>
        <rFont val="Calibri Light"/>
        <family val="2"/>
        <scheme val="major"/>
      </rPr>
      <t xml:space="preserve"> </t>
    </r>
    <r>
      <rPr>
        <sz val="11"/>
        <color theme="1"/>
        <rFont val="Malgun Gothic"/>
        <family val="2"/>
        <charset val="129"/>
      </rPr>
      <t>입국거절을</t>
    </r>
    <r>
      <rPr>
        <sz val="11"/>
        <color theme="1"/>
        <rFont val="Calibri Light"/>
        <family val="2"/>
        <scheme val="major"/>
      </rPr>
      <t xml:space="preserve"> </t>
    </r>
    <r>
      <rPr>
        <sz val="11"/>
        <color theme="1"/>
        <rFont val="Malgun Gothic"/>
        <family val="2"/>
        <charset val="129"/>
      </rPr>
      <t>당한적이</t>
    </r>
    <r>
      <rPr>
        <sz val="11"/>
        <color theme="1"/>
        <rFont val="Calibri Light"/>
        <family val="2"/>
        <scheme val="major"/>
      </rPr>
      <t xml:space="preserve"> </t>
    </r>
    <r>
      <rPr>
        <sz val="11"/>
        <color theme="1"/>
        <rFont val="Malgun Gothic"/>
        <family val="2"/>
        <charset val="129"/>
      </rPr>
      <t>있습니까</t>
    </r>
    <r>
      <rPr>
        <sz val="11"/>
        <color theme="1"/>
        <rFont val="Calibri Light"/>
        <family val="2"/>
        <scheme val="major"/>
      </rPr>
      <t xml:space="preserve"> </t>
    </r>
    <r>
      <rPr>
        <sz val="11"/>
        <color theme="1"/>
        <rFont val="Calibri Light"/>
        <family val="2"/>
        <scheme val="major"/>
      </rPr>
      <t>?</t>
    </r>
  </si>
  <si>
    <r>
      <rPr>
        <sz val="11"/>
        <color theme="1"/>
        <rFont val="Malgun Gothic"/>
        <family val="2"/>
        <charset val="129"/>
      </rPr>
      <t>유학</t>
    </r>
    <r>
      <rPr>
        <sz val="11"/>
        <color theme="1"/>
        <rFont val="Calibri Light"/>
        <family val="2"/>
        <scheme val="major"/>
      </rPr>
      <t xml:space="preserve"> </t>
    </r>
    <r>
      <rPr>
        <sz val="11"/>
        <color theme="1"/>
        <rFont val="Malgun Gothic"/>
        <family val="2"/>
        <charset val="129"/>
      </rPr>
      <t>혹은</t>
    </r>
    <r>
      <rPr>
        <sz val="11"/>
        <color theme="1"/>
        <rFont val="Calibri Light"/>
        <family val="2"/>
        <scheme val="major"/>
      </rPr>
      <t xml:space="preserve"> </t>
    </r>
    <r>
      <rPr>
        <sz val="11"/>
        <color theme="1"/>
        <rFont val="Malgun Gothic"/>
        <family val="2"/>
        <charset val="129"/>
      </rPr>
      <t>다른비자를</t>
    </r>
    <r>
      <rPr>
        <sz val="11"/>
        <color theme="1"/>
        <rFont val="Calibri Light"/>
        <family val="2"/>
        <scheme val="major"/>
      </rPr>
      <t xml:space="preserve"> </t>
    </r>
    <r>
      <rPr>
        <sz val="11"/>
        <color theme="1"/>
        <rFont val="Malgun Gothic"/>
        <family val="2"/>
        <charset val="129"/>
      </rPr>
      <t>신청한적이</t>
    </r>
    <r>
      <rPr>
        <sz val="11"/>
        <color theme="1"/>
        <rFont val="Calibri Light"/>
        <family val="2"/>
        <scheme val="major"/>
      </rPr>
      <t xml:space="preserve"> </t>
    </r>
    <r>
      <rPr>
        <sz val="11"/>
        <color theme="1"/>
        <rFont val="Malgun Gothic"/>
        <family val="2"/>
        <charset val="129"/>
      </rPr>
      <t>있습니까</t>
    </r>
    <r>
      <rPr>
        <sz val="11"/>
        <color theme="1"/>
        <rFont val="Calibri Light"/>
        <family val="2"/>
        <scheme val="major"/>
      </rPr>
      <t xml:space="preserve"> </t>
    </r>
    <r>
      <rPr>
        <sz val="11"/>
        <color theme="1"/>
        <rFont val="Calibri Light"/>
        <family val="2"/>
        <scheme val="major"/>
      </rPr>
      <t>?</t>
    </r>
  </si>
  <si>
    <t xml:space="preserve">일본 혹은 다른나라에서범죄경력이 있습니까 </t>
  </si>
  <si>
    <t>가족</t>
  </si>
  <si>
    <r>
      <rPr>
        <sz val="11"/>
        <color theme="1"/>
        <rFont val="Malgun Gothic"/>
        <family val="2"/>
        <charset val="129"/>
      </rPr>
      <t>재류자격</t>
    </r>
    <r>
      <rPr>
        <sz val="11"/>
        <color theme="1"/>
        <rFont val="Calibri"/>
        <family val="2"/>
      </rPr>
      <t xml:space="preserve"> </t>
    </r>
    <r>
      <rPr>
        <sz val="11"/>
        <color theme="1"/>
        <rFont val="Malgun Gothic"/>
        <family val="2"/>
        <charset val="129"/>
      </rPr>
      <t>인정증명서</t>
    </r>
    <r>
      <rPr>
        <sz val="11"/>
        <color theme="1"/>
        <rFont val="Calibri"/>
        <family val="2"/>
      </rPr>
      <t xml:space="preserve"> </t>
    </r>
    <r>
      <rPr>
        <sz val="11"/>
        <color theme="1"/>
        <rFont val="Malgun Gothic"/>
        <family val="2"/>
        <charset val="129"/>
      </rPr>
      <t>교부를</t>
    </r>
    <r>
      <rPr>
        <sz val="11"/>
        <color theme="1"/>
        <rFont val="Calibri"/>
        <family val="2"/>
      </rPr>
      <t xml:space="preserve"> </t>
    </r>
    <r>
      <rPr>
        <sz val="11"/>
        <color theme="1"/>
        <rFont val="Malgun Gothic"/>
        <family val="2"/>
        <charset val="129"/>
      </rPr>
      <t>신청한</t>
    </r>
    <r>
      <rPr>
        <sz val="11"/>
        <color theme="1"/>
        <rFont val="Calibri"/>
        <family val="2"/>
      </rPr>
      <t xml:space="preserve"> </t>
    </r>
    <r>
      <rPr>
        <sz val="11"/>
        <color theme="1"/>
        <rFont val="Malgun Gothic"/>
        <family val="2"/>
        <charset val="129"/>
      </rPr>
      <t>일이</t>
    </r>
    <r>
      <rPr>
        <sz val="11"/>
        <color theme="1"/>
        <rFont val="Calibri"/>
        <family val="2"/>
      </rPr>
      <t xml:space="preserve"> </t>
    </r>
    <r>
      <rPr>
        <sz val="11"/>
        <color theme="1"/>
        <rFont val="Malgun Gothic"/>
        <family val="2"/>
        <charset val="129"/>
      </rPr>
      <t>있습니까</t>
    </r>
    <r>
      <rPr>
        <sz val="11"/>
        <color theme="1"/>
        <rFont val="Calibri"/>
        <family val="2"/>
      </rPr>
      <t>?</t>
    </r>
  </si>
  <si>
    <r>
      <rPr>
        <sz val="11"/>
        <color theme="1"/>
        <rFont val="ＭＳ Ｐゴシック"/>
        <family val="3"/>
        <charset val="128"/>
      </rPr>
      <t>(</t>
    </r>
    <r>
      <rPr>
        <sz val="11"/>
        <color theme="1"/>
        <rFont val="Malgun Gothic"/>
        <family val="2"/>
        <charset val="129"/>
      </rPr>
      <t>위</t>
    </r>
    <r>
      <rPr>
        <sz val="11"/>
        <color theme="1"/>
        <rFont val="ＭＳ Ｐゴシック"/>
        <family val="3"/>
        <charset val="128"/>
      </rPr>
      <t xml:space="preserve"> </t>
    </r>
    <r>
      <rPr>
        <sz val="11"/>
        <color theme="1"/>
        <rFont val="Malgun Gothic"/>
        <family val="2"/>
        <charset val="129"/>
      </rPr>
      <t>질문에서</t>
    </r>
    <r>
      <rPr>
        <sz val="11"/>
        <color theme="1"/>
        <rFont val="ＭＳ Ｐゴシック"/>
        <family val="3"/>
        <charset val="128"/>
      </rPr>
      <t xml:space="preserve"> </t>
    </r>
    <r>
      <rPr>
        <sz val="11"/>
        <color theme="1"/>
        <rFont val="Calibri Light"/>
        <family val="2"/>
        <scheme val="major"/>
      </rPr>
      <t>「</t>
    </r>
    <r>
      <rPr>
        <sz val="11"/>
        <color theme="1"/>
        <rFont val="Malgun Gothic"/>
        <family val="2"/>
        <charset val="129"/>
      </rPr>
      <t>있음</t>
    </r>
    <r>
      <rPr>
        <sz val="11"/>
        <color theme="1"/>
        <rFont val="Calibri Light"/>
        <family val="2"/>
        <scheme val="major"/>
      </rPr>
      <t>」</t>
    </r>
    <r>
      <rPr>
        <sz val="11"/>
        <color theme="1"/>
        <rFont val="Malgun Gothic"/>
        <family val="2"/>
        <charset val="129"/>
      </rPr>
      <t>을</t>
    </r>
    <r>
      <rPr>
        <sz val="11"/>
        <color theme="1"/>
        <rFont val="ＭＳ Ｐゴシック"/>
        <family val="3"/>
        <charset val="128"/>
      </rPr>
      <t xml:space="preserve"> </t>
    </r>
    <r>
      <rPr>
        <sz val="11"/>
        <color theme="1"/>
        <rFont val="Malgun Gothic"/>
        <family val="2"/>
        <charset val="129"/>
      </rPr>
      <t>선택한</t>
    </r>
    <r>
      <rPr>
        <sz val="11"/>
        <color theme="1"/>
        <rFont val="ＭＳ Ｐゴシック"/>
        <family val="3"/>
        <charset val="128"/>
      </rPr>
      <t xml:space="preserve"> </t>
    </r>
    <r>
      <rPr>
        <sz val="11"/>
        <color theme="1"/>
        <rFont val="Malgun Gothic"/>
        <family val="2"/>
        <charset val="129"/>
      </rPr>
      <t>경우</t>
    </r>
    <r>
      <rPr>
        <sz val="11"/>
        <color theme="1"/>
        <rFont val="ＭＳ Ｐゴシック"/>
        <family val="3"/>
        <charset val="128"/>
      </rPr>
      <t>)</t>
    </r>
  </si>
  <si>
    <r>
      <rPr>
        <sz val="11"/>
        <color theme="1"/>
        <rFont val="Calibri Light"/>
        <family val="2"/>
        <scheme val="major"/>
      </rPr>
      <t>（</t>
    </r>
    <r>
      <rPr>
        <sz val="11"/>
        <color theme="1"/>
        <rFont val="Malgun Gothic"/>
        <family val="2"/>
        <charset val="129"/>
      </rPr>
      <t>신청중</t>
    </r>
    <r>
      <rPr>
        <sz val="11"/>
        <color theme="1"/>
        <rFont val="Calibri Light"/>
        <family val="2"/>
        <scheme val="major"/>
      </rPr>
      <t xml:space="preserve">, </t>
    </r>
    <r>
      <rPr>
        <sz val="11"/>
        <color theme="1"/>
        <rFont val="Malgun Gothic"/>
        <family val="2"/>
        <charset val="129"/>
      </rPr>
      <t>교부가</t>
    </r>
    <r>
      <rPr>
        <sz val="11"/>
        <color theme="1"/>
        <rFont val="Calibri Light"/>
        <family val="2"/>
        <scheme val="major"/>
      </rPr>
      <t xml:space="preserve"> </t>
    </r>
    <r>
      <rPr>
        <sz val="11"/>
        <color theme="1"/>
        <rFont val="Malgun Gothic"/>
        <family val="2"/>
        <charset val="129"/>
      </rPr>
      <t>않된</t>
    </r>
    <r>
      <rPr>
        <sz val="11"/>
        <color theme="1"/>
        <rFont val="Calibri Light"/>
        <family val="2"/>
        <scheme val="major"/>
      </rPr>
      <t xml:space="preserve"> </t>
    </r>
    <r>
      <rPr>
        <sz val="11"/>
        <color theme="1"/>
        <rFont val="Malgun Gothic"/>
        <family val="2"/>
        <charset val="129"/>
      </rPr>
      <t>횟수）</t>
    </r>
  </si>
  <si>
    <r>
      <rPr>
        <sz val="11"/>
        <color theme="1"/>
        <rFont val="Malgun Gothic"/>
        <family val="2"/>
        <charset val="129"/>
      </rPr>
      <t>질문에서</t>
    </r>
    <r>
      <rPr>
        <sz val="11"/>
        <color theme="1"/>
        <rFont val="Calibri"/>
        <family val="2"/>
      </rPr>
      <t xml:space="preserve"> </t>
    </r>
    <r>
      <rPr>
        <sz val="11"/>
        <color theme="1"/>
        <rFont val="Calibri Light"/>
        <family val="2"/>
        <scheme val="major"/>
      </rPr>
      <t>「</t>
    </r>
    <r>
      <rPr>
        <sz val="11"/>
        <color theme="1"/>
        <rFont val="Malgun Gothic"/>
        <family val="2"/>
        <charset val="129"/>
      </rPr>
      <t>있음</t>
    </r>
    <r>
      <rPr>
        <sz val="11"/>
        <color theme="1"/>
        <rFont val="Calibri Light"/>
        <family val="2"/>
        <scheme val="major"/>
      </rPr>
      <t>」</t>
    </r>
    <r>
      <rPr>
        <sz val="11"/>
        <color theme="1"/>
        <rFont val="Malgun Gothic"/>
        <family val="2"/>
        <charset val="129"/>
      </rPr>
      <t>을</t>
    </r>
    <r>
      <rPr>
        <sz val="11"/>
        <color theme="1"/>
        <rFont val="Calibri"/>
        <family val="2"/>
      </rPr>
      <t xml:space="preserve"> </t>
    </r>
    <r>
      <rPr>
        <sz val="11"/>
        <color theme="1"/>
        <rFont val="Malgun Gothic"/>
        <family val="2"/>
        <charset val="129"/>
      </rPr>
      <t>선택한</t>
    </r>
    <r>
      <rPr>
        <sz val="11"/>
        <color theme="1"/>
        <rFont val="Calibri"/>
        <family val="2"/>
      </rPr>
      <t xml:space="preserve"> </t>
    </r>
    <r>
      <rPr>
        <sz val="11"/>
        <color theme="1"/>
        <rFont val="Malgun Gothic"/>
        <family val="2"/>
        <charset val="129"/>
      </rPr>
      <t>경우</t>
    </r>
  </si>
  <si>
    <r>
      <rPr>
        <sz val="11"/>
        <color theme="1"/>
        <rFont val="Malgun Gothic"/>
        <family val="2"/>
        <charset val="129"/>
      </rPr>
      <t>신청중</t>
    </r>
    <r>
      <rPr>
        <sz val="11"/>
        <color theme="1"/>
        <rFont val="Calibri Light"/>
        <family val="2"/>
        <scheme val="major"/>
      </rPr>
      <t xml:space="preserve">, </t>
    </r>
    <r>
      <rPr>
        <sz val="11"/>
        <color theme="1"/>
        <rFont val="Malgun Gothic"/>
        <family val="2"/>
        <charset val="129"/>
      </rPr>
      <t>교부가</t>
    </r>
    <r>
      <rPr>
        <sz val="11"/>
        <color theme="1"/>
        <rFont val="Calibri Light"/>
        <family val="2"/>
        <scheme val="major"/>
      </rPr>
      <t xml:space="preserve"> </t>
    </r>
    <r>
      <rPr>
        <sz val="11"/>
        <color theme="1"/>
        <rFont val="Malgun Gothic"/>
        <family val="2"/>
        <charset val="129"/>
      </rPr>
      <t>않된</t>
    </r>
    <r>
      <rPr>
        <sz val="11"/>
        <color theme="1"/>
        <rFont val="Calibri Light"/>
        <family val="2"/>
        <scheme val="major"/>
      </rPr>
      <t xml:space="preserve"> </t>
    </r>
    <r>
      <rPr>
        <sz val="11"/>
        <color theme="1"/>
        <rFont val="Malgun Gothic"/>
        <family val="2"/>
        <charset val="129"/>
      </rPr>
      <t>횟수</t>
    </r>
  </si>
  <si>
    <t>회</t>
  </si>
  <si>
    <t>Australia</t>
  </si>
  <si>
    <t>オーストラリア</t>
  </si>
  <si>
    <t>(+61)</t>
  </si>
  <si>
    <t>AUD</t>
  </si>
  <si>
    <t>Austria</t>
  </si>
  <si>
    <t>オーストリア</t>
  </si>
  <si>
    <t>(+43)</t>
  </si>
  <si>
    <t>YES NO LIST</t>
  </si>
  <si>
    <t>Azerbaijan</t>
  </si>
  <si>
    <t>アゼルバイジャン</t>
  </si>
  <si>
    <t>(+994)</t>
  </si>
  <si>
    <t>AZN</t>
  </si>
  <si>
    <t>Bahamas</t>
  </si>
  <si>
    <t>バハマ</t>
  </si>
  <si>
    <t>BSD</t>
  </si>
  <si>
    <t>EXPENSE REASONS ( EXPENSEINFO )</t>
  </si>
  <si>
    <t>Bahrain</t>
  </si>
  <si>
    <t>バーレーン</t>
  </si>
  <si>
    <t>(+973)</t>
  </si>
  <si>
    <t>BHD</t>
  </si>
  <si>
    <t>Tôi sẽ hỗ trợ và giúp đỡ con tôi với tư cách là người bảo lãnh. Tôi sẽ chịu trách nhiệm tất cả các chi phí bao gồm sinh hoạt phí và học phí trong suốt thời gian con tôi du học tại Nhật Bản.</t>
  </si>
  <si>
    <t>Tôi sẽ chuyển khoản tiền học phí vào tài khoản của nhà trường, và tiền sinh hoạt phí vào tài khoản của con tôi mở tại Nhật từ Việt Nam.</t>
  </si>
  <si>
    <t>(Bộ trưởng bộ tư pháp Nhật Bản)</t>
  </si>
  <si>
    <t>(Đơn xin trả phí)</t>
  </si>
  <si>
    <t>(Chấp nhận bảo lãnh tài chính cho học sinh. Hãy ghi cụ thể và ghi rõ quan hệ với học sinh)</t>
  </si>
  <si>
    <t xml:space="preserve">Hãy xác định lại thông tin vào 3 điều dưới. Nếu muốn kéo dài  hạn visa thì hãy nộp chứng nhận tài khoản, giấy chứng nhận gửi tiền và sổ tiết kiệm của ngân hàng. </t>
  </si>
  <si>
    <t>(Học phí)</t>
  </si>
  <si>
    <t>(Hàng tháng)</t>
  </si>
  <si>
    <t>(Nửa năm)</t>
  </si>
  <si>
    <t>(Một năm)</t>
  </si>
  <si>
    <t>(Phí sinh hoạt)</t>
  </si>
  <si>
    <t>(Hãy ghi chi tiết, cụ thể phương pháp trả phí, gửi tiền mặt hay gửi qua ngân hàng )</t>
  </si>
  <si>
    <t>(Danh mục gia đình của người bảo lãnh)</t>
  </si>
  <si>
    <t>(Người trả phí)</t>
  </si>
  <si>
    <t>Bangladesh</t>
  </si>
  <si>
    <t>バングラデシュ</t>
  </si>
  <si>
    <t>(+880)</t>
  </si>
  <si>
    <t>BDT</t>
  </si>
  <si>
    <t>我作为以上申请者的经费担保人，支持和支援孩子的日本留学。我负责承担孩子在日本期间的学费和生活费等所有费用。</t>
  </si>
  <si>
    <t>日本国法务大臣</t>
  </si>
  <si>
    <t>经济支付书</t>
  </si>
  <si>
    <t>我作为上述申请者的经济支付人，现将经济支付的理由作如下说明，并证明经济支付的能力。</t>
  </si>
  <si>
    <t>请详细说明承担经济支付责任的理由以及同申请者的关系。</t>
  </si>
  <si>
    <t>另外，上述申请者在留期间更新时，我提供汇款证明或我本人名义的存折复印件（详细记载汇款情况的材料等）来证明已经济支付生活费等相关费用的事实。</t>
  </si>
  <si>
    <t>学费</t>
  </si>
  <si>
    <t>每月</t>
  </si>
  <si>
    <t>6个月</t>
  </si>
  <si>
    <t>1年</t>
  </si>
  <si>
    <t>生活费</t>
  </si>
  <si>
    <t>请详细说明支付方法（银行汇款等）</t>
  </si>
  <si>
    <t>经济支付者的家族一览表</t>
  </si>
  <si>
    <t>经济支付者</t>
  </si>
  <si>
    <t>Barbados</t>
  </si>
  <si>
    <t>バルバドス</t>
  </si>
  <si>
    <t>BBD</t>
  </si>
  <si>
    <t>(To The Ministry of Justice Japan)</t>
  </si>
  <si>
    <t>(Letter of Financial Sponsorship)</t>
  </si>
  <si>
    <t>I hereby will be the supporter of expenses (in the case of staying / entering Japan), so I will prove the sponsorship of expenses as well as explain the circumstances of expenses as described below.</t>
  </si>
  <si>
    <t>Please Explain in detail why you are sponsoring the above applicant (explaining the circumstances for sponsorship and your relationship to the applicant)</t>
  </si>
  <si>
    <t>In addition, when the applicant applies for an extension period of stay, I understand it is necessary to clarify the facts of living expenses etc. by copying the remittance certificate(s) or a deposit passbook in the name of the person (remittance facts, facts describing expenses) I will submit documents that clarify the details of support such as living expenses.</t>
  </si>
  <si>
    <t>(Tuition Fee)</t>
  </si>
  <si>
    <t>(Every month)</t>
  </si>
  <si>
    <t>(Six months)</t>
  </si>
  <si>
    <t>(1 year)</t>
  </si>
  <si>
    <t>(Living expenses)</t>
  </si>
  <si>
    <t>(Payment Method. Please state the payment method in detail)</t>
  </si>
  <si>
    <t>(Please enter all of the sponsor's family members including other persons living at the same address)</t>
  </si>
  <si>
    <t>(Expenses Payer)</t>
  </si>
  <si>
    <t>Belarus</t>
  </si>
  <si>
    <t>ベラルーシ</t>
  </si>
  <si>
    <t>(+375)</t>
  </si>
  <si>
    <t>BYR</t>
  </si>
  <si>
    <t>부모로서 자녀의 교육과 꿈을 지지하는것은 중요하다고생각합니다.따라서 자녀의 일본유학중 필요한 학비를 전부 부담할것을 보증합니다.</t>
  </si>
  <si>
    <t xml:space="preserve">유학 허가를 받은후 학교의 규정에따라 신청인의 일년간의 학비를 학교지정계좌에 입금할것이며 신청인이 일본에 갈시에 6개월간의 생활비를 지참하게 하고 금후 필요한 비용은 신청인이 일본에서 개설한 계좌에 입글할것을 담보합니다. </t>
  </si>
  <si>
    <t>일본국법무대신 전</t>
  </si>
  <si>
    <t>경비지변서</t>
  </si>
  <si>
    <t>저는 이번 상기인이 일본국에 재류중/입국했을 경우 경비지변자로써 하기와 같이 경비지변 경위를 설명함과 동시에 경비지변에 관하여 증명합니다.</t>
  </si>
  <si>
    <t>신청자의 경비지변 경위와 신청자와의 관계를 구체적으로 기재해주십시오</t>
  </si>
  <si>
    <t>또한 상기인이 재류기간 갱신신청때에는 송금증명서 또는 본인 명의의 예금통장(송금사실,경비지변사실이 기재된것)의 사본등으로 생활비등의 경비사실을 증명할수있는 서류를 제출하겠습니다.</t>
  </si>
  <si>
    <t xml:space="preserve">학비 </t>
  </si>
  <si>
    <t xml:space="preserve">매월 </t>
  </si>
  <si>
    <t>6개월</t>
  </si>
  <si>
    <t xml:space="preserve">일년 </t>
  </si>
  <si>
    <t>생활비</t>
  </si>
  <si>
    <t>지변방법(송금등 지변방법을 구체적으로 써주세요.)</t>
  </si>
  <si>
    <t>지변자의 가족 일람효</t>
  </si>
  <si>
    <t>경비지변자</t>
  </si>
  <si>
    <t>Belgium</t>
  </si>
  <si>
    <t>ベルギー</t>
  </si>
  <si>
    <t>(+32)</t>
  </si>
  <si>
    <t>Belize</t>
  </si>
  <si>
    <t>ベリーズ</t>
  </si>
  <si>
    <t>(+501)</t>
  </si>
  <si>
    <t>BZD</t>
  </si>
  <si>
    <t>SP</t>
  </si>
  <si>
    <t>Bhutan</t>
  </si>
  <si>
    <t>ブータン</t>
  </si>
  <si>
    <t>(+975)</t>
  </si>
  <si>
    <t>BTN</t>
  </si>
  <si>
    <t>Bolivia</t>
  </si>
  <si>
    <t>ボリビア</t>
  </si>
  <si>
    <t>(+591)</t>
  </si>
  <si>
    <t>BOB</t>
  </si>
  <si>
    <t>Brazil</t>
  </si>
  <si>
    <t>ブラジル</t>
  </si>
  <si>
    <t>(+55)</t>
  </si>
  <si>
    <t>BRL</t>
  </si>
  <si>
    <t>学生の家族</t>
  </si>
  <si>
    <t>→　→　→　→　→</t>
  </si>
  <si>
    <t>父・母の家族</t>
  </si>
  <si>
    <t>Bulgaria</t>
  </si>
  <si>
    <t>ブルガリア</t>
  </si>
  <si>
    <t>(+359)</t>
  </si>
  <si>
    <t>BGN</t>
  </si>
  <si>
    <t>FAMILY TRANSLATION</t>
  </si>
  <si>
    <t>ORIGIN</t>
  </si>
  <si>
    <t>DATA</t>
  </si>
  <si>
    <t>CODE GENERATION</t>
  </si>
  <si>
    <t>RESULT</t>
  </si>
  <si>
    <t>Cambodia</t>
  </si>
  <si>
    <t>カンボジア</t>
  </si>
  <si>
    <t>(+855)</t>
  </si>
  <si>
    <t>KHR</t>
  </si>
  <si>
    <t>母父</t>
  </si>
  <si>
    <t>夫</t>
  </si>
  <si>
    <t>Canada</t>
  </si>
  <si>
    <t>カナダ</t>
  </si>
  <si>
    <t>CAD</t>
  </si>
  <si>
    <t>父母</t>
  </si>
  <si>
    <t>妻</t>
  </si>
  <si>
    <t>Cayman Islands</t>
  </si>
  <si>
    <t>ケイマン諸島</t>
  </si>
  <si>
    <t>KYD</t>
  </si>
  <si>
    <t>Chile</t>
  </si>
  <si>
    <t>チリ</t>
  </si>
  <si>
    <t>(+56)</t>
  </si>
  <si>
    <t>CLP</t>
  </si>
  <si>
    <t>父子</t>
  </si>
  <si>
    <t>China</t>
  </si>
  <si>
    <t>F</t>
  </si>
  <si>
    <t>Colombia</t>
  </si>
  <si>
    <t>コロンビア</t>
  </si>
  <si>
    <t>(+57)</t>
  </si>
  <si>
    <t>COP</t>
  </si>
  <si>
    <t>兄</t>
  </si>
  <si>
    <t>子</t>
  </si>
  <si>
    <t>Costa Rica</t>
  </si>
  <si>
    <t>コスタリカ</t>
  </si>
  <si>
    <t>(+506)</t>
  </si>
  <si>
    <t>CRC</t>
  </si>
  <si>
    <t>妹</t>
  </si>
  <si>
    <t>Croatia</t>
  </si>
  <si>
    <t>クロアチア</t>
  </si>
  <si>
    <t>(+385)</t>
  </si>
  <si>
    <t>HRK</t>
  </si>
  <si>
    <t>姐</t>
  </si>
  <si>
    <t>Cuba</t>
  </si>
  <si>
    <t>キューバ</t>
  </si>
  <si>
    <t>(+53)</t>
  </si>
  <si>
    <t>CUP</t>
  </si>
  <si>
    <t>弟</t>
  </si>
  <si>
    <t>Cyprus</t>
  </si>
  <si>
    <t>キプロス</t>
  </si>
  <si>
    <t>(+357)</t>
  </si>
  <si>
    <t>伯父</t>
  </si>
  <si>
    <t>Czech Republic</t>
  </si>
  <si>
    <t>チェコ共和国</t>
  </si>
  <si>
    <t>(+420)</t>
  </si>
  <si>
    <t>CZK</t>
  </si>
  <si>
    <t>叔父</t>
  </si>
  <si>
    <t>Denmark</t>
  </si>
  <si>
    <t>デンマーク</t>
  </si>
  <si>
    <t>(+45)</t>
  </si>
  <si>
    <t>DKK</t>
  </si>
  <si>
    <r>
      <rPr>
        <sz val="11"/>
        <color theme="1"/>
        <rFont val="Calibri Light"/>
        <family val="2"/>
        <scheme val="major"/>
      </rPr>
      <t>Ti</t>
    </r>
    <r>
      <rPr>
        <sz val="11"/>
        <color theme="1"/>
        <rFont val="Calibri"/>
        <family val="2"/>
      </rPr>
      <t>ể</t>
    </r>
    <r>
      <rPr>
        <sz val="11"/>
        <color theme="1"/>
        <rFont val="Calibri Light"/>
        <family val="2"/>
        <scheme val="major"/>
      </rPr>
      <t>u h</t>
    </r>
    <r>
      <rPr>
        <sz val="11"/>
        <color theme="1"/>
        <rFont val="Calibri"/>
        <family val="2"/>
      </rPr>
      <t>ọ</t>
    </r>
    <r>
      <rPr>
        <sz val="11"/>
        <color theme="1"/>
        <rFont val="Calibri Light"/>
        <family val="2"/>
        <scheme val="major"/>
      </rPr>
      <t>c (h</t>
    </r>
    <r>
      <rPr>
        <sz val="11"/>
        <color theme="1"/>
        <rFont val="Calibri"/>
        <family val="2"/>
      </rPr>
      <t>ệ</t>
    </r>
    <r>
      <rPr>
        <sz val="11"/>
        <color theme="1"/>
        <rFont val="Calibri Light"/>
        <family val="2"/>
        <scheme val="major"/>
      </rPr>
      <t xml:space="preserve"> 5 năm)</t>
    </r>
  </si>
  <si>
    <t>姑妈（大）</t>
  </si>
  <si>
    <t>Dominica</t>
  </si>
  <si>
    <t>ドミニカ</t>
  </si>
  <si>
    <t>小学</t>
  </si>
  <si>
    <t>姑妈（小）</t>
  </si>
  <si>
    <t>Dominican Republic</t>
  </si>
  <si>
    <t>ドミニカ共和国</t>
  </si>
  <si>
    <t>DOP</t>
  </si>
  <si>
    <t>Elementary / Primary School</t>
  </si>
  <si>
    <t>爷爷</t>
  </si>
  <si>
    <t>Ecuador</t>
  </si>
  <si>
    <t>エクアドル</t>
  </si>
  <si>
    <t>(+593)</t>
  </si>
  <si>
    <t>USD</t>
  </si>
  <si>
    <t>초등학교</t>
  </si>
  <si>
    <t>奶奶</t>
  </si>
  <si>
    <t>Egypt</t>
  </si>
  <si>
    <t>エジプト</t>
  </si>
  <si>
    <t>(+20)</t>
  </si>
  <si>
    <t>EGP</t>
  </si>
  <si>
    <t>小学校</t>
  </si>
  <si>
    <t>女婿</t>
  </si>
  <si>
    <t>婿</t>
  </si>
  <si>
    <t>El Salvador</t>
  </si>
  <si>
    <t>エルサルバドル</t>
  </si>
  <si>
    <t>(+503)</t>
  </si>
  <si>
    <t>儿妇</t>
  </si>
  <si>
    <t>嫁</t>
  </si>
  <si>
    <t>Estonia</t>
  </si>
  <si>
    <t>エストニア</t>
  </si>
  <si>
    <t>(+372)</t>
  </si>
  <si>
    <t>侄子</t>
  </si>
  <si>
    <t>孙子</t>
  </si>
  <si>
    <t>Fiji</t>
  </si>
  <si>
    <t>フィジー</t>
  </si>
  <si>
    <t>(+679)</t>
  </si>
  <si>
    <t>FJD</t>
  </si>
  <si>
    <t>侄女</t>
  </si>
  <si>
    <t>孙女</t>
  </si>
  <si>
    <t>Finland</t>
  </si>
  <si>
    <t>フィンランド</t>
  </si>
  <si>
    <t>(+358)</t>
  </si>
  <si>
    <t>母子</t>
  </si>
  <si>
    <t>France</t>
  </si>
  <si>
    <t>フランス</t>
  </si>
  <si>
    <t>(+33)</t>
  </si>
  <si>
    <t>Georgia</t>
  </si>
  <si>
    <t>ジョージア州</t>
  </si>
  <si>
    <t>(+995)</t>
  </si>
  <si>
    <t>GEL</t>
  </si>
  <si>
    <t>Germany</t>
  </si>
  <si>
    <t>ドイツ</t>
  </si>
  <si>
    <t>(+49)</t>
  </si>
  <si>
    <t>Greece</t>
  </si>
  <si>
    <t>ギリシャ</t>
  </si>
  <si>
    <t>(+30)</t>
  </si>
  <si>
    <t>Grenada</t>
  </si>
  <si>
    <t>グレナダ</t>
  </si>
  <si>
    <t>Guadeloupe</t>
  </si>
  <si>
    <t>グアドループ</t>
  </si>
  <si>
    <t>(+590)</t>
  </si>
  <si>
    <t>舅父（大）</t>
  </si>
  <si>
    <t>Honduras</t>
  </si>
  <si>
    <t>ホンジュラス</t>
  </si>
  <si>
    <t>(+504)</t>
  </si>
  <si>
    <t>HNL</t>
  </si>
  <si>
    <t>舅父（小）</t>
  </si>
  <si>
    <t>ADDRESS TYPES</t>
  </si>
  <si>
    <t>Hong Kong</t>
  </si>
  <si>
    <t>姨母（大）</t>
  </si>
  <si>
    <t>Hungary</t>
  </si>
  <si>
    <t>ハンガリー</t>
  </si>
  <si>
    <t>(+36)</t>
  </si>
  <si>
    <t>HUF</t>
  </si>
  <si>
    <t>姨母（小）</t>
  </si>
  <si>
    <t>Iceland</t>
  </si>
  <si>
    <t>アイスランド</t>
  </si>
  <si>
    <t>(+354)</t>
  </si>
  <si>
    <t>ISK</t>
  </si>
  <si>
    <t>姥姥</t>
  </si>
  <si>
    <t>India</t>
  </si>
  <si>
    <t>インド</t>
  </si>
  <si>
    <t>(+91)</t>
  </si>
  <si>
    <t>INR</t>
  </si>
  <si>
    <t>姥爷</t>
  </si>
  <si>
    <t>Indonesia</t>
  </si>
  <si>
    <t>インドネシア</t>
  </si>
  <si>
    <t>(+62)</t>
  </si>
  <si>
    <t>IDR</t>
  </si>
  <si>
    <t>Ireland</t>
  </si>
  <si>
    <t>アイルランド</t>
  </si>
  <si>
    <t>(+353)</t>
  </si>
  <si>
    <t>Italy</t>
  </si>
  <si>
    <t>イタリア</t>
  </si>
  <si>
    <t>(+39)</t>
  </si>
  <si>
    <t>Japan</t>
  </si>
  <si>
    <t>日本</t>
  </si>
  <si>
    <t>(+81)</t>
  </si>
  <si>
    <t>JPY</t>
  </si>
  <si>
    <t>Kazakhstan</t>
  </si>
  <si>
    <t>カザフスタン</t>
  </si>
  <si>
    <t>(+7)</t>
  </si>
  <si>
    <t>KZT</t>
  </si>
  <si>
    <t>父女</t>
  </si>
  <si>
    <t>Kosovo</t>
  </si>
  <si>
    <t>コソボ</t>
  </si>
  <si>
    <t>(+383)</t>
  </si>
  <si>
    <t>Kyrgyzstan</t>
  </si>
  <si>
    <t>キリギスタン</t>
  </si>
  <si>
    <t>(+996)</t>
  </si>
  <si>
    <t>KGS</t>
  </si>
  <si>
    <t>Laos</t>
  </si>
  <si>
    <t>ラオス</t>
  </si>
  <si>
    <t>(+856)</t>
  </si>
  <si>
    <t>LAK</t>
  </si>
  <si>
    <t>Latvia</t>
  </si>
  <si>
    <t>ラトビア</t>
  </si>
  <si>
    <t>(+371)</t>
  </si>
  <si>
    <t>SCHOOL TYPES &amp; TRANSLATION</t>
  </si>
  <si>
    <t>Lebanon</t>
  </si>
  <si>
    <t>レバノン</t>
  </si>
  <si>
    <t>(+961)</t>
  </si>
  <si>
    <t>LBP</t>
  </si>
  <si>
    <r>
      <rPr>
        <sz val="10"/>
        <rFont val="Calibri Light"/>
        <family val="2"/>
        <scheme val="major"/>
      </rPr>
      <t>Ti</t>
    </r>
    <r>
      <rPr>
        <sz val="10"/>
        <rFont val="Calibri"/>
        <family val="2"/>
      </rPr>
      <t>ể</t>
    </r>
    <r>
      <rPr>
        <sz val="10"/>
        <rFont val="Calibri Light"/>
        <family val="2"/>
        <scheme val="major"/>
      </rPr>
      <t>u h</t>
    </r>
    <r>
      <rPr>
        <sz val="10"/>
        <rFont val="Calibri"/>
        <family val="2"/>
      </rPr>
      <t>ọ</t>
    </r>
    <r>
      <rPr>
        <sz val="10"/>
        <rFont val="Calibri Light"/>
        <family val="2"/>
        <scheme val="major"/>
      </rPr>
      <t>c (h</t>
    </r>
    <r>
      <rPr>
        <sz val="10"/>
        <rFont val="Calibri"/>
        <family val="2"/>
      </rPr>
      <t>ệ</t>
    </r>
    <r>
      <rPr>
        <sz val="10"/>
        <rFont val="Calibri Light"/>
        <family val="2"/>
        <scheme val="major"/>
      </rPr>
      <t xml:space="preserve"> 5 năm)</t>
    </r>
  </si>
  <si>
    <t>Liechtenstein</t>
  </si>
  <si>
    <t>リヒテンシュタイン</t>
  </si>
  <si>
    <t>(+423)</t>
  </si>
  <si>
    <t>CHF</t>
  </si>
  <si>
    <t>Trung học cơ sở (hệ 4 năm)</t>
  </si>
  <si>
    <t>中学校</t>
  </si>
  <si>
    <t>Lithuania</t>
  </si>
  <si>
    <t>リトアニア</t>
  </si>
  <si>
    <t>(+370)</t>
  </si>
  <si>
    <t>Trung học phổ thông (hệ 3 năm)</t>
  </si>
  <si>
    <t>高校</t>
  </si>
  <si>
    <t>Luxembourg</t>
  </si>
  <si>
    <t>ルクセンブルク</t>
  </si>
  <si>
    <t>(+352)</t>
  </si>
  <si>
    <t>Trung cấp (hệ 2 năm)</t>
  </si>
  <si>
    <t>専門学校</t>
  </si>
  <si>
    <t>Macau</t>
  </si>
  <si>
    <t>Cao đẳng (hệ 3 năm)</t>
  </si>
  <si>
    <t>短期大学</t>
  </si>
  <si>
    <t>Malaysia</t>
  </si>
  <si>
    <t>マレーシア</t>
  </si>
  <si>
    <t>(+60)</t>
  </si>
  <si>
    <t>MYR</t>
  </si>
  <si>
    <t>Đại học (hệ 4-5 năm)</t>
  </si>
  <si>
    <t>大学</t>
  </si>
  <si>
    <t>Malta</t>
  </si>
  <si>
    <t>マルタ</t>
  </si>
  <si>
    <t>(+356)</t>
  </si>
  <si>
    <t>Mauritius</t>
  </si>
  <si>
    <t>モーリシャス</t>
  </si>
  <si>
    <t>(+230)</t>
  </si>
  <si>
    <t>MUR</t>
  </si>
  <si>
    <t>初中</t>
  </si>
  <si>
    <t>Mexico</t>
  </si>
  <si>
    <t>メキシコ</t>
  </si>
  <si>
    <t>(+52)</t>
  </si>
  <si>
    <t>MXN</t>
  </si>
  <si>
    <t>高中</t>
  </si>
  <si>
    <t>Monaco</t>
  </si>
  <si>
    <t>モナコ</t>
  </si>
  <si>
    <t>(+377)</t>
  </si>
  <si>
    <t>大学（三年制）</t>
  </si>
  <si>
    <t>中专</t>
  </si>
  <si>
    <t>中専</t>
  </si>
  <si>
    <t>Mongolia</t>
  </si>
  <si>
    <t>モンゴル</t>
  </si>
  <si>
    <t>(+976)</t>
  </si>
  <si>
    <t>MNT</t>
  </si>
  <si>
    <t>大专</t>
  </si>
  <si>
    <t>Montenegro</t>
  </si>
  <si>
    <t>モンテネグロ</t>
  </si>
  <si>
    <t>(+382)</t>
  </si>
  <si>
    <t>成人自学試験</t>
  </si>
  <si>
    <t>母女</t>
  </si>
  <si>
    <t>Montserrat</t>
  </si>
  <si>
    <t>モントセラト</t>
  </si>
  <si>
    <t>修士</t>
  </si>
  <si>
    <t>成人自学考试</t>
  </si>
  <si>
    <t>Myanmar</t>
  </si>
  <si>
    <t>ミャンマー</t>
  </si>
  <si>
    <t>(+95)</t>
  </si>
  <si>
    <t>MMK</t>
  </si>
  <si>
    <t>硕士</t>
  </si>
  <si>
    <t>Nepal</t>
  </si>
  <si>
    <t>ネパール</t>
  </si>
  <si>
    <t>(+977)</t>
  </si>
  <si>
    <t>NPR</t>
  </si>
  <si>
    <t>Netherlands</t>
  </si>
  <si>
    <t>オランダ</t>
  </si>
  <si>
    <t>(+31)</t>
  </si>
  <si>
    <t>Jr High School</t>
  </si>
  <si>
    <t>New Zealand</t>
  </si>
  <si>
    <t>ニュージーランド</t>
  </si>
  <si>
    <t>(+64)</t>
  </si>
  <si>
    <t>NZD</t>
  </si>
  <si>
    <t>High School</t>
  </si>
  <si>
    <t>Norway</t>
  </si>
  <si>
    <t>ノルウェー</t>
  </si>
  <si>
    <t>(+47)</t>
  </si>
  <si>
    <t>NOK</t>
  </si>
  <si>
    <t>College of Technology</t>
  </si>
  <si>
    <t>高等専門学校</t>
  </si>
  <si>
    <t>Pakistan</t>
  </si>
  <si>
    <t>パキスタン</t>
  </si>
  <si>
    <t>(+92)</t>
  </si>
  <si>
    <t>PKR</t>
  </si>
  <si>
    <t>Junior College</t>
  </si>
  <si>
    <t>Panama</t>
  </si>
  <si>
    <t>パナマ</t>
  </si>
  <si>
    <t>(+507)</t>
  </si>
  <si>
    <t>Vocational School</t>
  </si>
  <si>
    <t>Paraguay</t>
  </si>
  <si>
    <t>パラグアイ</t>
  </si>
  <si>
    <t>(+595)</t>
  </si>
  <si>
    <t>PYG</t>
  </si>
  <si>
    <t>University</t>
  </si>
  <si>
    <t>Peru</t>
  </si>
  <si>
    <t>ペルー</t>
  </si>
  <si>
    <t>(+51)</t>
  </si>
  <si>
    <t>PEN</t>
  </si>
  <si>
    <t>Philippines</t>
  </si>
  <si>
    <t>フィリピン</t>
  </si>
  <si>
    <t>(+63)</t>
  </si>
  <si>
    <t>PHP</t>
  </si>
  <si>
    <t>중학교</t>
  </si>
  <si>
    <t>Poland</t>
  </si>
  <si>
    <t>ポーランド</t>
  </si>
  <si>
    <t>(+48)</t>
  </si>
  <si>
    <t>PLN</t>
  </si>
  <si>
    <t>고등학교</t>
  </si>
  <si>
    <t>Portugal</t>
  </si>
  <si>
    <t>ポルトガル</t>
  </si>
  <si>
    <t>(+351)</t>
  </si>
  <si>
    <t>전문학교</t>
  </si>
  <si>
    <t>Puerto Rico</t>
  </si>
  <si>
    <t>プエルトリコ</t>
  </si>
  <si>
    <t xml:space="preserve">대학교 </t>
  </si>
  <si>
    <t>Qatar</t>
  </si>
  <si>
    <t>カタール</t>
  </si>
  <si>
    <t>(+974)</t>
  </si>
  <si>
    <t>QAR</t>
  </si>
  <si>
    <t>Republic of Macedonia</t>
  </si>
  <si>
    <t>マケドニア共和国</t>
  </si>
  <si>
    <t>(+389)</t>
  </si>
  <si>
    <t>MKD</t>
  </si>
  <si>
    <t>Republic of Moldova</t>
  </si>
  <si>
    <t>モルドバ共和国</t>
  </si>
  <si>
    <t>(+373)</t>
  </si>
  <si>
    <t>MDL</t>
  </si>
  <si>
    <t>Romania</t>
  </si>
  <si>
    <t>ルーマニア</t>
  </si>
  <si>
    <t>(+40)</t>
  </si>
  <si>
    <t>RON</t>
  </si>
  <si>
    <t>Russia</t>
  </si>
  <si>
    <t>ロシア</t>
  </si>
  <si>
    <t>RUB</t>
  </si>
  <si>
    <t>単科大学</t>
  </si>
  <si>
    <t>Saint Vincent's &amp; Grenadines</t>
  </si>
  <si>
    <t>ｾﾝﾄﾋﾞﾝｾﾝﾄ＆ｸﾞﾚﾅﾃﾞｨﾝ諸島</t>
  </si>
  <si>
    <t>Samoa</t>
  </si>
  <si>
    <t>サモア</t>
  </si>
  <si>
    <t>(+685)</t>
  </si>
  <si>
    <t>WST</t>
  </si>
  <si>
    <t>大学校</t>
  </si>
  <si>
    <t>Saudi Arabia</t>
  </si>
  <si>
    <t>サウジアラビア</t>
  </si>
  <si>
    <t>(+966)</t>
  </si>
  <si>
    <t>SAR</t>
  </si>
  <si>
    <t>Serbia</t>
  </si>
  <si>
    <t>セルビア</t>
  </si>
  <si>
    <t>(+381)</t>
  </si>
  <si>
    <t>RSD</t>
  </si>
  <si>
    <t>Singapore</t>
  </si>
  <si>
    <t>シンガポール</t>
  </si>
  <si>
    <t>(+65)</t>
  </si>
  <si>
    <t>SGD</t>
  </si>
  <si>
    <t>姉</t>
  </si>
  <si>
    <t>Slovakia</t>
  </si>
  <si>
    <t>スロバキア</t>
  </si>
  <si>
    <t>(+421)</t>
  </si>
  <si>
    <t>Slovenia</t>
  </si>
  <si>
    <t>スロベニア</t>
  </si>
  <si>
    <t>(+386)</t>
  </si>
  <si>
    <t>tu nghiệp</t>
  </si>
  <si>
    <t>技能実習</t>
  </si>
  <si>
    <t>Spain</t>
  </si>
  <si>
    <t>スペイン</t>
  </si>
  <si>
    <t>(+34)</t>
  </si>
  <si>
    <t>du học</t>
  </si>
  <si>
    <t>留学</t>
  </si>
  <si>
    <t>Sri Lanka</t>
  </si>
  <si>
    <t>スリランカ</t>
  </si>
  <si>
    <t>(+94)</t>
  </si>
  <si>
    <t>LKR</t>
  </si>
  <si>
    <t>lưu trú ngắn hạn</t>
  </si>
  <si>
    <t>短期滞在</t>
  </si>
  <si>
    <t>Sweden</t>
  </si>
  <si>
    <t>スウェーデン</t>
  </si>
  <si>
    <t>(+46)</t>
  </si>
  <si>
    <t>SEK</t>
  </si>
  <si>
    <t>văn hóa</t>
  </si>
  <si>
    <t>文化活動</t>
  </si>
  <si>
    <t>Switzerland</t>
  </si>
  <si>
    <t>スイス</t>
  </si>
  <si>
    <t>(+41)</t>
  </si>
  <si>
    <t>visa gia đình</t>
  </si>
  <si>
    <t>家族滞在</t>
  </si>
  <si>
    <t>Taiwan</t>
  </si>
  <si>
    <t>đặc biệt</t>
  </si>
  <si>
    <t>特定活動</t>
  </si>
  <si>
    <t>Tajikistan</t>
  </si>
  <si>
    <t>タジキスタン</t>
  </si>
  <si>
    <t>(+992)</t>
  </si>
  <si>
    <t>TJS</t>
  </si>
  <si>
    <t>du lịch</t>
  </si>
  <si>
    <t>観光</t>
  </si>
  <si>
    <t>Thailand</t>
  </si>
  <si>
    <t>タイ</t>
  </si>
  <si>
    <t>(+66)</t>
  </si>
  <si>
    <t>THB</t>
  </si>
  <si>
    <t>nghiên cứu</t>
  </si>
  <si>
    <t>研究</t>
  </si>
  <si>
    <t>Timor Leste</t>
  </si>
  <si>
    <t>東ティモール</t>
  </si>
  <si>
    <t>(+670)</t>
  </si>
  <si>
    <t>Kỹ sư, nhân viên văn phòng ....</t>
  </si>
  <si>
    <t>技術・人文知識・国際業務</t>
  </si>
  <si>
    <t>Turkey</t>
  </si>
  <si>
    <t>七面鳥</t>
  </si>
  <si>
    <t>(+90)</t>
  </si>
  <si>
    <t>TRY</t>
  </si>
  <si>
    <t>thăm gia đình</t>
  </si>
  <si>
    <t>訪問</t>
  </si>
  <si>
    <t>Turkmenistan</t>
  </si>
  <si>
    <t>トルクメニスタン</t>
  </si>
  <si>
    <t>(+993)</t>
  </si>
  <si>
    <t>TMT</t>
  </si>
  <si>
    <t>Ukraine</t>
  </si>
  <si>
    <t>ウクライナ</t>
  </si>
  <si>
    <t>(+380)</t>
  </si>
  <si>
    <t>UAH</t>
  </si>
  <si>
    <t>家族签证 </t>
  </si>
  <si>
    <t>United Arab Emirates</t>
  </si>
  <si>
    <t>アラブ首長国連邦</t>
  </si>
  <si>
    <t>(+971)</t>
  </si>
  <si>
    <t>AED</t>
  </si>
  <si>
    <t>United Kingdom</t>
  </si>
  <si>
    <t>イギリス</t>
  </si>
  <si>
    <t>(+44)</t>
  </si>
  <si>
    <t>GBP</t>
  </si>
  <si>
    <t>技术・人文知识・国际业务</t>
  </si>
  <si>
    <t>永住者</t>
  </si>
  <si>
    <t>Uruguay</t>
  </si>
  <si>
    <t>ウルグアイ</t>
  </si>
  <si>
    <t>(+598)</t>
  </si>
  <si>
    <t>UYU</t>
  </si>
  <si>
    <t>日本国籍的配偶者</t>
  </si>
  <si>
    <t>日本人の配偶者等</t>
  </si>
  <si>
    <t>Uzbekistan</t>
  </si>
  <si>
    <t>ウズベキスタン</t>
  </si>
  <si>
    <t>(+998)</t>
  </si>
  <si>
    <t>UZS</t>
  </si>
  <si>
    <t>Short-Term Stay / Tourism</t>
  </si>
  <si>
    <t>Virgin Islands (UK)</t>
  </si>
  <si>
    <t>バージン諸島（英国）</t>
  </si>
  <si>
    <t>Study Abroad</t>
  </si>
  <si>
    <t>Virgin Islands (US)</t>
  </si>
  <si>
    <t>バージン諸島（米）</t>
  </si>
  <si>
    <t>Cultural Activities</t>
  </si>
  <si>
    <t>대한민국</t>
  </si>
  <si>
    <t>韓国</t>
  </si>
  <si>
    <t>(+82)</t>
  </si>
  <si>
    <t>KRW</t>
  </si>
  <si>
    <t>Family Stay</t>
  </si>
  <si>
    <t>Technical Internship</t>
  </si>
  <si>
    <t>Permanent Resident</t>
  </si>
  <si>
    <t>Spouse of Japanese</t>
  </si>
  <si>
    <t>SOFA (Status of Forces Agreement)</t>
  </si>
  <si>
    <t>地位協定</t>
  </si>
  <si>
    <t>기능실습</t>
  </si>
  <si>
    <t>류학</t>
  </si>
  <si>
    <t xml:space="preserve">단기체류 </t>
  </si>
  <si>
    <t>문화활동</t>
  </si>
  <si>
    <t>Học sinh</t>
  </si>
  <si>
    <t>学生</t>
  </si>
  <si>
    <t xml:space="preserve">가족체류 </t>
  </si>
  <si>
    <t>Nhân viên công ty</t>
  </si>
  <si>
    <t>会社従業員</t>
  </si>
  <si>
    <t>특정활동</t>
  </si>
  <si>
    <t>Không làm gì</t>
  </si>
  <si>
    <t>無し</t>
  </si>
  <si>
    <t>관광</t>
  </si>
  <si>
    <t>영주자</t>
  </si>
  <si>
    <t>公司职员</t>
  </si>
  <si>
    <t>일본인배우자</t>
  </si>
  <si>
    <t>无</t>
  </si>
  <si>
    <t>Student</t>
  </si>
  <si>
    <t>Employed</t>
  </si>
  <si>
    <t>Unemployed</t>
  </si>
  <si>
    <t xml:space="preserve">학생 </t>
  </si>
  <si>
    <t>직장인</t>
  </si>
  <si>
    <t>없음</t>
  </si>
  <si>
    <t>FAMILY GENDER CONVERSION</t>
  </si>
  <si>
    <t>Bố chồng/vợ</t>
  </si>
  <si>
    <t>義父</t>
  </si>
  <si>
    <t>Mẹ chồng/vợ</t>
  </si>
  <si>
    <t>義母</t>
  </si>
  <si>
    <t>Cháu</t>
  </si>
  <si>
    <t>孫</t>
  </si>
  <si>
    <t>Ông</t>
  </si>
  <si>
    <t>Con</t>
  </si>
  <si>
    <t>Bà</t>
  </si>
  <si>
    <t>Vợ</t>
  </si>
  <si>
    <t>Chồng</t>
  </si>
  <si>
    <t>Người viết</t>
  </si>
  <si>
    <t>Chị gái</t>
  </si>
  <si>
    <t>祖父</t>
  </si>
  <si>
    <t>Em gái</t>
  </si>
  <si>
    <t>祖母</t>
  </si>
  <si>
    <t>Anh trai</t>
  </si>
  <si>
    <t>Em trai</t>
  </si>
  <si>
    <t>Cháu trai</t>
  </si>
  <si>
    <t>Cháu gái</t>
  </si>
  <si>
    <t>Bác, Cậu</t>
  </si>
  <si>
    <t>Chú, Cậu</t>
  </si>
  <si>
    <t>Bác, Dì</t>
  </si>
  <si>
    <t>甥</t>
  </si>
  <si>
    <t>Cô, Dì</t>
  </si>
  <si>
    <t>姪</t>
  </si>
  <si>
    <t>伯母</t>
  </si>
  <si>
    <t>叔母</t>
  </si>
  <si>
    <t>Anh em họ</t>
  </si>
  <si>
    <t>いとこ</t>
  </si>
  <si>
    <t>叔</t>
  </si>
  <si>
    <t>姨</t>
  </si>
  <si>
    <t>姨母</t>
  </si>
  <si>
    <t>Older Brother</t>
  </si>
  <si>
    <t>Brother</t>
  </si>
  <si>
    <t>Younger Brother</t>
  </si>
  <si>
    <t>Older Sister</t>
  </si>
  <si>
    <t>Sister</t>
  </si>
  <si>
    <t>Younger Sister</t>
  </si>
  <si>
    <t>Uncle</t>
  </si>
  <si>
    <t>Aunt</t>
  </si>
  <si>
    <t>Grandfather</t>
  </si>
  <si>
    <t>Grandmother</t>
  </si>
  <si>
    <t>Husband</t>
  </si>
  <si>
    <t>Wife</t>
  </si>
  <si>
    <t>Nephew</t>
  </si>
  <si>
    <t>Niece</t>
  </si>
  <si>
    <t>남</t>
  </si>
  <si>
    <t>여</t>
  </si>
  <si>
    <t>형(오빠)</t>
  </si>
  <si>
    <t>남동생</t>
  </si>
  <si>
    <t>姨父</t>
  </si>
  <si>
    <t>여동생</t>
  </si>
  <si>
    <t>언니 (누나)</t>
  </si>
  <si>
    <t>남편</t>
  </si>
  <si>
    <t>처</t>
  </si>
  <si>
    <t>아들</t>
  </si>
  <si>
    <t>딸</t>
  </si>
  <si>
    <t>Son</t>
  </si>
  <si>
    <t>息子</t>
  </si>
  <si>
    <t>Daughter</t>
  </si>
  <si>
    <t>娘</t>
  </si>
  <si>
    <t>Cousin</t>
  </si>
  <si>
    <t>YES / NO CONV</t>
  </si>
  <si>
    <t>N</t>
  </si>
  <si>
    <t>UNIVERSITY MAJORS</t>
  </si>
  <si>
    <t>GENDER &amp; TRANSLATION</t>
  </si>
  <si>
    <t>Bảo quản thực phẩm</t>
  </si>
  <si>
    <t>食品保管</t>
  </si>
  <si>
    <t>Công nghệ thông tin</t>
  </si>
  <si>
    <t>IT</t>
  </si>
  <si>
    <t>Điện-Điện tử</t>
  </si>
  <si>
    <t>電気・電子</t>
  </si>
  <si>
    <t>Điều dưỡng(chăm sóc người già viện dưỡng lão)</t>
  </si>
  <si>
    <t>介護</t>
  </si>
  <si>
    <t>Dinh Dưỡng</t>
  </si>
  <si>
    <t>栄養</t>
  </si>
  <si>
    <t>Đồ họa</t>
  </si>
  <si>
    <t>グラフィック</t>
  </si>
  <si>
    <t>Du lịch</t>
  </si>
  <si>
    <t>Dược học</t>
  </si>
  <si>
    <t>薬学</t>
  </si>
  <si>
    <t>Giáo dục</t>
  </si>
  <si>
    <t>教育</t>
  </si>
  <si>
    <t>Giao tiếp quốc tế</t>
  </si>
  <si>
    <t>国際コミュニケーション</t>
  </si>
  <si>
    <t>Kế toán</t>
  </si>
  <si>
    <t>会計</t>
  </si>
  <si>
    <r>
      <rPr>
        <sz val="11"/>
        <rFont val="Calibri Light"/>
        <family val="2"/>
        <scheme val="major"/>
      </rPr>
      <t>Khách s</t>
    </r>
    <r>
      <rPr>
        <sz val="11"/>
        <rFont val="Calibri"/>
        <family val="2"/>
      </rPr>
      <t>ạ</t>
    </r>
    <r>
      <rPr>
        <sz val="11"/>
        <rFont val="Calibri Light"/>
        <family val="2"/>
        <scheme val="major"/>
      </rPr>
      <t>n</t>
    </r>
  </si>
  <si>
    <t>ホテル</t>
  </si>
  <si>
    <t>Kiến trúc</t>
  </si>
  <si>
    <t>建築</t>
  </si>
  <si>
    <t>Kinh doanh</t>
  </si>
  <si>
    <t>経営</t>
  </si>
  <si>
    <t>kinh tế</t>
  </si>
  <si>
    <t>経済</t>
  </si>
  <si>
    <t>Làm bánh kẹo</t>
  </si>
  <si>
    <t>製菓</t>
  </si>
  <si>
    <t>Làm đẹp(trang điểm, làm tóc, làm nail)</t>
  </si>
  <si>
    <t>ビューティー</t>
  </si>
  <si>
    <t>Marketing</t>
  </si>
  <si>
    <t>マーケティング</t>
  </si>
  <si>
    <t>May mặc</t>
  </si>
  <si>
    <t>縫製</t>
  </si>
  <si>
    <t>Máy móc</t>
  </si>
  <si>
    <t>機械</t>
  </si>
  <si>
    <t>Môi trường</t>
  </si>
  <si>
    <t>環境</t>
  </si>
  <si>
    <t>Nấu ăn</t>
  </si>
  <si>
    <t>料理</t>
  </si>
  <si>
    <t>Nông nghiệp</t>
  </si>
  <si>
    <t>農業</t>
  </si>
  <si>
    <t>ô tô</t>
  </si>
  <si>
    <t>自動車</t>
  </si>
  <si>
    <t>Pháp luật</t>
  </si>
  <si>
    <t>法律</t>
  </si>
  <si>
    <t>Phúc lợi xã hội</t>
  </si>
  <si>
    <t>社会福祉</t>
  </si>
  <si>
    <t>Quản trị kinh doanh</t>
  </si>
  <si>
    <t>経営管理</t>
  </si>
  <si>
    <t>Thời trang</t>
  </si>
  <si>
    <t>ファッション</t>
  </si>
  <si>
    <t>Thông dịch, phiên dịch</t>
  </si>
  <si>
    <t>翻訳・通訳</t>
  </si>
  <si>
    <t>Truyền thông</t>
  </si>
  <si>
    <t>メディア</t>
  </si>
  <si>
    <t>Văn hóa Nhật bản</t>
  </si>
  <si>
    <t>日本文化</t>
  </si>
  <si>
    <t>Xây dựng</t>
  </si>
  <si>
    <t>建設</t>
  </si>
  <si>
    <t>Y tá(làm ở bệnh viện)</t>
  </si>
  <si>
    <t>看護</t>
  </si>
  <si>
    <t>外国语</t>
  </si>
  <si>
    <t>外国語</t>
  </si>
  <si>
    <t>外国文学</t>
  </si>
  <si>
    <t>语言学</t>
  </si>
  <si>
    <t>言語学</t>
  </si>
  <si>
    <t>计算机</t>
  </si>
  <si>
    <t>コンピューター</t>
  </si>
  <si>
    <t>宗教学</t>
  </si>
  <si>
    <t>宗教学・特定宗教の教養研究</t>
  </si>
  <si>
    <t>心理学</t>
  </si>
  <si>
    <t>人文地理</t>
  </si>
  <si>
    <t>地域研究</t>
  </si>
  <si>
    <t>哲学</t>
  </si>
  <si>
    <t>日本文学</t>
  </si>
  <si>
    <t>美学</t>
  </si>
  <si>
    <t>文化人类学</t>
  </si>
  <si>
    <t>文化人類学</t>
  </si>
  <si>
    <t>文艺学</t>
  </si>
  <si>
    <t>文芸学</t>
  </si>
  <si>
    <t>历史学</t>
  </si>
  <si>
    <t>歴史学</t>
  </si>
  <si>
    <t>观光学</t>
  </si>
  <si>
    <t>観光学</t>
  </si>
  <si>
    <t>教育学</t>
  </si>
  <si>
    <t>经营学</t>
  </si>
  <si>
    <t>経営学</t>
  </si>
  <si>
    <t>经济学</t>
  </si>
  <si>
    <t>経済学</t>
  </si>
  <si>
    <t>国際学</t>
  </si>
  <si>
    <t>通信学</t>
  </si>
  <si>
    <t>コミュニケーション学</t>
  </si>
  <si>
    <t>社会学</t>
  </si>
  <si>
    <t>商学</t>
  </si>
  <si>
    <t>政治学</t>
  </si>
  <si>
    <t>福祉学</t>
  </si>
  <si>
    <t>法学</t>
  </si>
  <si>
    <t>媒体学</t>
  </si>
  <si>
    <t>マスコミ学・メディア学</t>
  </si>
  <si>
    <t>宇宙科学（天文学）</t>
  </si>
  <si>
    <t>化学</t>
  </si>
  <si>
    <t>自然地理</t>
  </si>
  <si>
    <t>情报科学</t>
  </si>
  <si>
    <t>情報科学</t>
  </si>
  <si>
    <t>自然人类学</t>
  </si>
  <si>
    <t>自然人類学</t>
  </si>
  <si>
    <t>数学</t>
  </si>
  <si>
    <t>生命科学</t>
  </si>
  <si>
    <t>生物学</t>
  </si>
  <si>
    <t>地球科学</t>
  </si>
  <si>
    <t>物理学</t>
  </si>
  <si>
    <t>医用生体工学</t>
  </si>
  <si>
    <t>応用物理・基础工学</t>
  </si>
  <si>
    <t>応用物理・基礎工学</t>
  </si>
  <si>
    <t>核融合・原子力工学</t>
  </si>
  <si>
    <t>画像・音像工学</t>
  </si>
  <si>
    <t>画像・音響工学</t>
  </si>
  <si>
    <t>机械工学</t>
  </si>
  <si>
    <t>機械工学</t>
  </si>
  <si>
    <t>环境工学</t>
  </si>
  <si>
    <t>環境工学</t>
  </si>
  <si>
    <t>建筑学</t>
  </si>
  <si>
    <t>建築工学</t>
  </si>
  <si>
    <t>材料工学</t>
  </si>
  <si>
    <t>资源工学</t>
  </si>
  <si>
    <t>資源・エネルギー工学</t>
  </si>
  <si>
    <t>情報工学</t>
  </si>
  <si>
    <t>生产系统工学</t>
  </si>
  <si>
    <t>生産・システム工学</t>
  </si>
  <si>
    <t>航空宇宙</t>
  </si>
  <si>
    <t>船舶・航空宇宙</t>
  </si>
  <si>
    <t>通信工学</t>
  </si>
  <si>
    <t>电气・电子工学</t>
  </si>
  <si>
    <t>電気・電子工学</t>
  </si>
  <si>
    <t>都市工学</t>
  </si>
  <si>
    <t>土木工学</t>
  </si>
  <si>
    <t>水産学</t>
  </si>
  <si>
    <t>兽医畜产学</t>
  </si>
  <si>
    <t>獣医畜産学</t>
  </si>
  <si>
    <t>农学</t>
  </si>
  <si>
    <t>農学</t>
  </si>
  <si>
    <t>农艺化学</t>
  </si>
  <si>
    <t>農芸化学</t>
  </si>
  <si>
    <t>农业经济学</t>
  </si>
  <si>
    <t>農業経済学</t>
  </si>
  <si>
    <t>农业工学</t>
  </si>
  <si>
    <t>農業工学</t>
  </si>
  <si>
    <t>林学</t>
  </si>
  <si>
    <t>医学</t>
  </si>
  <si>
    <t>护士学</t>
  </si>
  <si>
    <t>看護学</t>
  </si>
  <si>
    <t>设计学</t>
  </si>
  <si>
    <t>デザイン</t>
  </si>
  <si>
    <t>歯学</t>
  </si>
  <si>
    <t>音楽</t>
  </si>
  <si>
    <t>健康科学</t>
  </si>
  <si>
    <t>スポーツ・健康科学</t>
  </si>
  <si>
    <t>药学</t>
  </si>
  <si>
    <t>美术</t>
  </si>
  <si>
    <t>美術</t>
  </si>
  <si>
    <t>艺术</t>
  </si>
  <si>
    <t>芸術</t>
  </si>
  <si>
    <t>Accounting</t>
  </si>
  <si>
    <t>Agriculture</t>
  </si>
  <si>
    <t>Architecture</t>
  </si>
  <si>
    <t>Beauty</t>
  </si>
  <si>
    <t>Caregiving</t>
  </si>
  <si>
    <t>Confectionary</t>
  </si>
  <si>
    <t>Construction</t>
  </si>
  <si>
    <t>Economics</t>
  </si>
  <si>
    <t>Education</t>
  </si>
  <si>
    <t>Electronics</t>
  </si>
  <si>
    <t>Engineering</t>
  </si>
  <si>
    <t>Environment</t>
  </si>
  <si>
    <t>Fashion</t>
  </si>
  <si>
    <t>Food Storage</t>
  </si>
  <si>
    <t>Graphics Design</t>
  </si>
  <si>
    <t>Information Technology</t>
  </si>
  <si>
    <t>International Communication</t>
  </si>
  <si>
    <t>Japanese Culture</t>
  </si>
  <si>
    <t>Law</t>
  </si>
  <si>
    <t>Management</t>
  </si>
  <si>
    <t>Media</t>
  </si>
  <si>
    <t>Nursing</t>
  </si>
  <si>
    <t>Nutrition</t>
  </si>
  <si>
    <t>Pharmacology</t>
  </si>
  <si>
    <t>Social Science</t>
  </si>
  <si>
    <t>Textiles</t>
  </si>
  <si>
    <t>Tourism</t>
  </si>
  <si>
    <t>Translation / Interpretation</t>
  </si>
  <si>
    <t>그래픽</t>
  </si>
  <si>
    <t>기계</t>
  </si>
  <si>
    <t>전기・전공학</t>
  </si>
  <si>
    <t>경영관리학</t>
  </si>
  <si>
    <t>경제학</t>
  </si>
  <si>
    <t>경영학</t>
  </si>
  <si>
    <t>마케팅학과</t>
  </si>
  <si>
    <t>회계학</t>
  </si>
  <si>
    <t>국제커뮤니케션</t>
  </si>
  <si>
    <t>사회복지학</t>
  </si>
  <si>
    <t>호사</t>
  </si>
  <si>
    <t>간호학</t>
  </si>
  <si>
    <t>패션디자인</t>
  </si>
  <si>
    <t>봉제</t>
  </si>
  <si>
    <t>미용</t>
  </si>
  <si>
    <t>관광학</t>
  </si>
  <si>
    <t>환경학</t>
  </si>
  <si>
    <t xml:space="preserve">미디아 </t>
  </si>
  <si>
    <t>번역・통역</t>
  </si>
  <si>
    <t>식품보관</t>
  </si>
  <si>
    <t>제과제빵</t>
  </si>
  <si>
    <t>자동차</t>
  </si>
  <si>
    <t>건축학</t>
  </si>
  <si>
    <t>건설학</t>
  </si>
  <si>
    <t>농업학</t>
  </si>
  <si>
    <t>약학</t>
  </si>
  <si>
    <t>일본문</t>
  </si>
  <si>
    <t>법학과</t>
  </si>
  <si>
    <t>영양학</t>
  </si>
  <si>
    <t>교육학</t>
  </si>
  <si>
    <t>JOBS &amp; CAREERS</t>
  </si>
  <si>
    <t>Tự kinh doanh, buôn bán</t>
  </si>
  <si>
    <t>自営業</t>
  </si>
  <si>
    <t>会社員</t>
  </si>
  <si>
    <t>Giáo viên</t>
  </si>
  <si>
    <t>教師</t>
  </si>
  <si>
    <t>Cảnh sát</t>
  </si>
  <si>
    <t>警察</t>
  </si>
  <si>
    <t>Nhân viên nhà nước</t>
  </si>
  <si>
    <t>公務員</t>
  </si>
  <si>
    <t>Nông nghiệp + tự kinh doanh, buôn bán</t>
  </si>
  <si>
    <t>農業・自営業</t>
  </si>
  <si>
    <t>Nội trợ</t>
  </si>
  <si>
    <t>主婦</t>
  </si>
  <si>
    <t>Bộ đội</t>
  </si>
  <si>
    <t>軍人</t>
  </si>
  <si>
    <t>Hợp tác lao động</t>
  </si>
  <si>
    <t>技能実習生</t>
  </si>
  <si>
    <t>Du học sinh</t>
  </si>
  <si>
    <t>留学生</t>
  </si>
  <si>
    <t>Về hưu</t>
  </si>
  <si>
    <t>定年</t>
  </si>
  <si>
    <t>Y tá</t>
  </si>
  <si>
    <t>看護師</t>
  </si>
  <si>
    <t>Bác sỹ</t>
  </si>
  <si>
    <t>医者</t>
  </si>
  <si>
    <t>Lái xe</t>
  </si>
  <si>
    <t>ドライバー</t>
  </si>
  <si>
    <t>Thợ hàn</t>
  </si>
  <si>
    <t>溶接工</t>
  </si>
  <si>
    <t>なし</t>
  </si>
  <si>
    <t>Mất</t>
  </si>
  <si>
    <t>死亡</t>
  </si>
  <si>
    <t>Đầu bếp</t>
  </si>
  <si>
    <t>調理師</t>
  </si>
  <si>
    <t>农业</t>
  </si>
  <si>
    <t>个体</t>
  </si>
  <si>
    <t xml:space="preserve">教师 </t>
  </si>
  <si>
    <t>公务员</t>
  </si>
  <si>
    <t>养殖</t>
  </si>
  <si>
    <t>畜産業</t>
  </si>
  <si>
    <t>主妇</t>
  </si>
  <si>
    <t>军人</t>
  </si>
  <si>
    <t>会计</t>
  </si>
  <si>
    <t>経理</t>
  </si>
  <si>
    <t>市场部部长</t>
  </si>
  <si>
    <t>市場部部長</t>
  </si>
  <si>
    <t>退休</t>
  </si>
  <si>
    <t>护士</t>
  </si>
  <si>
    <t>医生</t>
  </si>
  <si>
    <t>工厂厂长</t>
  </si>
  <si>
    <t>工場長</t>
  </si>
  <si>
    <t>律师</t>
  </si>
  <si>
    <t>弁護士</t>
  </si>
  <si>
    <t>校长</t>
  </si>
  <si>
    <t>校長</t>
  </si>
  <si>
    <t>厨师</t>
  </si>
  <si>
    <t>シェフ</t>
  </si>
  <si>
    <t>教授</t>
  </si>
  <si>
    <t>经理</t>
  </si>
  <si>
    <t>部長</t>
  </si>
  <si>
    <t>副经理</t>
  </si>
  <si>
    <t>副部長</t>
  </si>
  <si>
    <t>店长</t>
  </si>
  <si>
    <t>店長</t>
  </si>
  <si>
    <t>销售部部长</t>
  </si>
  <si>
    <t>営業部部長</t>
  </si>
  <si>
    <t>制造部部长</t>
  </si>
  <si>
    <t>製造部部長</t>
  </si>
  <si>
    <t>离婚</t>
  </si>
  <si>
    <t>離婚</t>
  </si>
  <si>
    <t>去世</t>
  </si>
  <si>
    <t>总经理</t>
  </si>
  <si>
    <t>社長</t>
  </si>
  <si>
    <t>副总经理</t>
  </si>
  <si>
    <t>副社長</t>
  </si>
  <si>
    <t>技术部部长</t>
  </si>
  <si>
    <t>技術部部長</t>
  </si>
  <si>
    <t>Chef</t>
  </si>
  <si>
    <t>Civil Servant</t>
  </si>
  <si>
    <t>Company Employee</t>
  </si>
  <si>
    <t>Company President</t>
  </si>
  <si>
    <t>Manager</t>
  </si>
  <si>
    <t>Deputy Manager</t>
  </si>
  <si>
    <t>Doctor</t>
  </si>
  <si>
    <t>Factory &amp; Processing</t>
  </si>
  <si>
    <t>Housewife</t>
  </si>
  <si>
    <t>Lawyer</t>
  </si>
  <si>
    <t>Livestock Industry</t>
  </si>
  <si>
    <t>Manufacturing</t>
  </si>
  <si>
    <t>Sales &amp; Retail</t>
  </si>
  <si>
    <t>Nurse</t>
  </si>
  <si>
    <t>Police</t>
  </si>
  <si>
    <t>Principal</t>
  </si>
  <si>
    <t>Professor</t>
  </si>
  <si>
    <t>Store Manager</t>
  </si>
  <si>
    <t>Teacher</t>
  </si>
  <si>
    <t>Technician</t>
  </si>
  <si>
    <t>Retired</t>
  </si>
  <si>
    <t>Self-Employed</t>
  </si>
  <si>
    <t>Deceased</t>
  </si>
  <si>
    <t>농업</t>
  </si>
  <si>
    <t>자영업</t>
  </si>
  <si>
    <t>회사인</t>
  </si>
  <si>
    <t>학생</t>
  </si>
  <si>
    <t xml:space="preserve">교사 </t>
  </si>
  <si>
    <t>경찰</t>
  </si>
  <si>
    <t>공무원</t>
  </si>
  <si>
    <t>축산업</t>
  </si>
  <si>
    <t>주부</t>
  </si>
  <si>
    <t>군인</t>
  </si>
  <si>
    <t>회계</t>
  </si>
  <si>
    <t>마케팅부장</t>
  </si>
  <si>
    <t>정년퇴직</t>
  </si>
  <si>
    <t>의사</t>
  </si>
  <si>
    <t>공장장</t>
  </si>
  <si>
    <t>변호사</t>
  </si>
  <si>
    <t>교장</t>
  </si>
  <si>
    <t>쉐프</t>
  </si>
  <si>
    <t xml:space="preserve">교수 </t>
  </si>
  <si>
    <t>부장</t>
  </si>
  <si>
    <t>팀장</t>
  </si>
  <si>
    <t>점장</t>
  </si>
  <si>
    <t xml:space="preserve">영업부부장 </t>
  </si>
  <si>
    <t>제조부부장</t>
  </si>
  <si>
    <t>이혼</t>
  </si>
  <si>
    <t>사망</t>
  </si>
  <si>
    <t>사장</t>
  </si>
  <si>
    <t>부사장</t>
  </si>
  <si>
    <t xml:space="preserve">기술부부장 </t>
  </si>
  <si>
    <t>REASON FOR VISIT</t>
  </si>
  <si>
    <t>DU LỊCH</t>
  </si>
  <si>
    <t>ĐI CÔNG TÁC</t>
  </si>
  <si>
    <t>商用</t>
  </si>
  <si>
    <t>LAO ĐỘNG CHÍNH QUY</t>
  </si>
  <si>
    <t>就労</t>
  </si>
  <si>
    <t>DU HỌC</t>
  </si>
  <si>
    <r>
      <rPr>
        <sz val="11"/>
        <color theme="1"/>
        <rFont val="Calibri"/>
        <family val="2"/>
        <scheme val="minor"/>
      </rPr>
      <t>观</t>
    </r>
    <r>
      <rPr>
        <sz val="11"/>
        <color theme="1"/>
        <rFont val="Calibri"/>
        <family val="2"/>
        <scheme val="minor"/>
      </rPr>
      <t>光</t>
    </r>
  </si>
  <si>
    <r>
      <rPr>
        <sz val="11"/>
        <color theme="1"/>
        <rFont val="Calibri"/>
        <family val="2"/>
        <scheme val="minor"/>
      </rPr>
      <t>商</t>
    </r>
    <r>
      <rPr>
        <sz val="11"/>
        <color theme="1"/>
        <rFont val="Calibri"/>
        <family val="2"/>
        <scheme val="minor"/>
      </rPr>
      <t>务</t>
    </r>
  </si>
  <si>
    <r>
      <rPr>
        <sz val="11"/>
        <color theme="1"/>
        <rFont val="Calibri"/>
        <family val="2"/>
        <scheme val="minor"/>
      </rPr>
      <t>就</t>
    </r>
    <r>
      <rPr>
        <sz val="11"/>
        <color theme="1"/>
        <rFont val="Calibri"/>
        <family val="2"/>
        <scheme val="minor"/>
      </rPr>
      <t>劳</t>
    </r>
  </si>
  <si>
    <t>Tourism / Sightseeing</t>
  </si>
  <si>
    <t>Business Trip</t>
  </si>
  <si>
    <t>Work</t>
  </si>
  <si>
    <t>Study</t>
  </si>
  <si>
    <t>Military Service</t>
  </si>
  <si>
    <t>外国で軍事作戦に従事</t>
  </si>
  <si>
    <t>비지니스</t>
  </si>
  <si>
    <t xml:space="preserve">취로 </t>
  </si>
  <si>
    <t xml:space="preserve">유학 </t>
  </si>
  <si>
    <t>PLANNED SCHOOL</t>
  </si>
  <si>
    <t>Trường trung cấp</t>
  </si>
  <si>
    <t>S</t>
  </si>
  <si>
    <t>Trường đại học</t>
  </si>
  <si>
    <t>Học viện</t>
  </si>
  <si>
    <t>大学院</t>
  </si>
  <si>
    <t>进入专门学校</t>
  </si>
  <si>
    <t>进入大学</t>
  </si>
  <si>
    <t>进入研究生院</t>
  </si>
  <si>
    <t>Enter university</t>
  </si>
  <si>
    <t>Enter graduate school</t>
  </si>
  <si>
    <t>W</t>
  </si>
  <si>
    <t>R</t>
  </si>
  <si>
    <t xml:space="preserve">대학 </t>
  </si>
  <si>
    <t>대학원</t>
  </si>
  <si>
    <t>ADDRESS 1</t>
  </si>
  <si>
    <t>ADDRESS 2</t>
  </si>
  <si>
    <t>STUDENT</t>
  </si>
  <si>
    <t>F-2</t>
  </si>
  <si>
    <t>FAMILY2</t>
  </si>
  <si>
    <t>FAMILY4</t>
  </si>
  <si>
    <t>ST</t>
  </si>
  <si>
    <t>FAMILY5</t>
  </si>
  <si>
    <t>FAMILY6</t>
  </si>
  <si>
    <t>F-4</t>
  </si>
  <si>
    <t>FAMILY7</t>
  </si>
  <si>
    <t>FAMILY8</t>
  </si>
  <si>
    <t>F-5</t>
  </si>
  <si>
    <t>FAMILY9</t>
  </si>
  <si>
    <t>FAMILY10</t>
  </si>
  <si>
    <t>F-6</t>
  </si>
  <si>
    <t>F-7</t>
  </si>
  <si>
    <t>F-8</t>
  </si>
  <si>
    <t>F-9</t>
  </si>
  <si>
    <t>F-10</t>
  </si>
  <si>
    <t>YES</t>
  </si>
  <si>
    <t>NO</t>
  </si>
  <si>
    <t>FAMILY DATA ENTRY 1</t>
  </si>
  <si>
    <t>→</t>
  </si>
  <si>
    <t>DATA SORTING 履歴書</t>
  </si>
  <si>
    <t>AGE</t>
  </si>
  <si>
    <t>NAME</t>
  </si>
  <si>
    <t>DOB</t>
  </si>
  <si>
    <t>JOB</t>
  </si>
  <si>
    <t>ADDRESS</t>
  </si>
  <si>
    <t>LIVING</t>
  </si>
  <si>
    <t>FAMILY DATA ENTRY 2</t>
  </si>
  <si>
    <t>DATA SORTING 皆勤賞</t>
  </si>
  <si>
    <t>SCHOOL</t>
  </si>
  <si>
    <t>HOME</t>
  </si>
  <si>
    <t>Military</t>
  </si>
  <si>
    <t>United States</t>
  </si>
  <si>
    <t>アメリカ</t>
  </si>
  <si>
    <t>Working Holiday</t>
  </si>
  <si>
    <t>ワーキング・ホリデー査証</t>
  </si>
  <si>
    <t>Designated Activities</t>
  </si>
  <si>
    <t>Tiểu học (hệ 5 năm)</t>
  </si>
  <si>
    <t>my son's</t>
  </si>
  <si>
    <t>my nephew's</t>
  </si>
  <si>
    <t>my brother's</t>
  </si>
  <si>
    <t>my daughter's</t>
  </si>
  <si>
    <t>my niece's</t>
  </si>
  <si>
    <t>my sister's</t>
  </si>
  <si>
    <t>FatherMale</t>
  </si>
  <si>
    <t>MotherMale</t>
  </si>
  <si>
    <t>AuntMale</t>
  </si>
  <si>
    <t>UncleMale</t>
  </si>
  <si>
    <t>BrotherMale</t>
  </si>
  <si>
    <t>SisterMale</t>
  </si>
  <si>
    <t>FatherFemale</t>
  </si>
  <si>
    <t>MotherFemale</t>
  </si>
  <si>
    <t>AuntFemale</t>
  </si>
  <si>
    <t>UncleFemale</t>
  </si>
  <si>
    <t>BrotherFemale</t>
  </si>
  <si>
    <t>SisterFemale</t>
  </si>
  <si>
    <t>申请获得批准后，我会按照学校的规定将一年的学费汇入学校指定的银行账户中，申请人赴日时将自带半年的生活费。今后所需的一切费用我将汇入申请者在日本建立的银行账户中。</t>
  </si>
  <si>
    <t>Physics</t>
  </si>
  <si>
    <t>物理</t>
  </si>
  <si>
    <t>Physical Education</t>
  </si>
  <si>
    <t>体育</t>
  </si>
  <si>
    <t>Automotive (Mechanics)</t>
  </si>
  <si>
    <t>Business Management</t>
  </si>
  <si>
    <t>Medicine</t>
  </si>
  <si>
    <t>Business Owner</t>
  </si>
  <si>
    <t>事業主</t>
  </si>
  <si>
    <t>Real Estate</t>
  </si>
  <si>
    <t>不動産</t>
  </si>
  <si>
    <t>Company Vice President</t>
  </si>
  <si>
    <t>家族訪問</t>
  </si>
  <si>
    <t>Visiting Family</t>
  </si>
  <si>
    <t>Enter vocational school</t>
  </si>
  <si>
    <t>Father-in-Law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</si>
</sst>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
    <numFmt numFmtId="165" formatCode="yyyy&quot;年&quot;m&quot;月&quot;d&quot;日&quot;;@"/>
    <numFmt numFmtId="166" formatCode="#,###"/>
    <numFmt numFmtId="167" formatCode="yyyy/m/d;@"/>
    <numFmt numFmtId="168" formatCode="yyyy/m/d;;&quot;&quot;"/>
    <numFmt numFmtId="169" formatCode="#;;"/>
    <numFmt numFmtId="170" formatCode="yyyy&quot;年&quot;m&quot;月&quot;d&quot;日&quot;;;&quot;&quot;"/>
    <numFmt numFmtId="171" formatCode="yyyy&quot;年&quot;m&quot;月&quot;;;&quot;&quot;"/>
    <numFmt numFmtId="172" formatCode="#;"/>
    <numFmt numFmtId="173" formatCode="0_ "/>
    <numFmt numFmtId="174" formatCode="0.0_);[Red]\(0.0\)"/>
    <numFmt numFmtId="175" formatCode="0.0"/>
    <numFmt numFmtId="176" formatCode="####&quot;/&quot;##"/>
  </numFmts>
  <fonts count="97">
    <font>
      <sz val="11"/>
      <color theme="1"/>
      <name val="Calibri"/>
      <charset val="128"/>
      <scheme val="minor"/>
    </font>
    <font>
      <sz val="11"/>
      <color theme="1"/>
      <name val="Calibri"/>
      <family val="2"/>
      <scheme val="minor"/>
    </font>
    <font>
      <sz val="11"/>
      <color theme="1"/>
      <name val="Times New Roman"/>
      <family val="1"/>
    </font>
    <font>
      <sz val="10"/>
      <color theme="1"/>
      <name val="Times New Roman"/>
      <family val="1"/>
    </font>
    <font>
      <sz val="9"/>
      <color theme="1"/>
      <name val="Times New Roman"/>
      <family val="1"/>
    </font>
    <font>
      <sz val="8"/>
      <color theme="1"/>
      <name val="Times New Roman"/>
      <family val="1"/>
    </font>
    <font>
      <b/>
      <sz val="11"/>
      <color rgb="FFFF0000"/>
      <name val="Times New Roman"/>
      <family val="1"/>
    </font>
    <font>
      <b/>
      <sz val="11"/>
      <color theme="1"/>
      <name val="Times New Roman"/>
      <family val="1"/>
    </font>
    <font>
      <b/>
      <sz val="8"/>
      <color theme="1"/>
      <name val="Times New Roman"/>
      <family val="1"/>
    </font>
    <font>
      <sz val="8"/>
      <color indexed="8"/>
      <name val="Times New Roman"/>
      <family val="1"/>
    </font>
    <font>
      <sz val="18"/>
      <color indexed="8"/>
      <name val="Times New Roman"/>
      <family val="1"/>
    </font>
    <font>
      <sz val="8"/>
      <color theme="1"/>
      <name val="Calibri"/>
      <family val="2"/>
      <scheme val="minor"/>
    </font>
    <font>
      <sz val="7"/>
      <color theme="1"/>
      <name val="Times New Roman"/>
      <family val="1"/>
    </font>
    <font>
      <sz val="48"/>
      <color theme="1"/>
      <name val="Calibri"/>
      <family val="2"/>
      <scheme val="minor"/>
    </font>
    <font>
      <sz val="11"/>
      <color theme="1"/>
      <name val="Calibri Light"/>
      <family val="2"/>
      <scheme val="major"/>
    </font>
    <font>
      <b/>
      <sz val="8"/>
      <color rgb="FFFF0000"/>
      <name val="Calibri Light"/>
      <family val="2"/>
      <scheme val="major"/>
    </font>
    <font>
      <sz val="10"/>
      <color theme="1"/>
      <name val="Calibri Light"/>
      <family val="2"/>
      <scheme val="major"/>
    </font>
    <font>
      <sz val="11"/>
      <color theme="1"/>
      <name val="Calibri"/>
      <family val="2"/>
      <scheme val="minor"/>
    </font>
    <font>
      <sz val="20"/>
      <color theme="1"/>
      <name val="Calibri"/>
      <family val="2"/>
      <scheme val="minor"/>
    </font>
    <font>
      <sz val="22"/>
      <color theme="1"/>
      <name val="Calibri Light"/>
      <family val="2"/>
      <scheme val="major"/>
    </font>
    <font>
      <sz val="9"/>
      <color theme="1"/>
      <name val="Calibri Light"/>
      <family val="2"/>
      <scheme val="major"/>
    </font>
    <font>
      <b/>
      <sz val="11"/>
      <color theme="1"/>
      <name val="Calibri Light"/>
      <family val="2"/>
      <scheme val="major"/>
    </font>
    <font>
      <b/>
      <sz val="11"/>
      <color rgb="FFFF0000"/>
      <name val="Calibri Light"/>
      <family val="2"/>
      <scheme val="major"/>
    </font>
    <font>
      <b/>
      <sz val="10"/>
      <color rgb="FFFF0000"/>
      <name val="Calibri Light"/>
      <family val="2"/>
      <scheme val="major"/>
    </font>
    <font>
      <sz val="9"/>
      <color rgb="FFFF0000"/>
      <name val="Calibri Light"/>
      <family val="2"/>
      <scheme val="major"/>
    </font>
    <font>
      <sz val="12"/>
      <color rgb="FFFF0000"/>
      <name val="Calibri "/>
      <family val="2"/>
    </font>
    <font>
      <sz val="18"/>
      <color theme="1"/>
      <name val="Calibri Light"/>
      <family val="2"/>
      <scheme val="major"/>
    </font>
    <font>
      <sz val="18"/>
      <color theme="1"/>
      <name val="Calibri"/>
      <family val="2"/>
      <scheme val="minor"/>
    </font>
    <font>
      <sz val="11"/>
      <color rgb="FFFF0000"/>
      <name val="Calibri Light"/>
      <family val="2"/>
      <scheme val="major"/>
    </font>
    <font>
      <sz val="24"/>
      <color rgb="FFFF0000"/>
      <name val="Calibri Light"/>
      <family val="2"/>
      <scheme val="major"/>
    </font>
    <font>
      <b/>
      <sz val="10"/>
      <color theme="1"/>
      <name val="Calibri Light"/>
      <family val="2"/>
      <scheme val="major"/>
    </font>
    <font>
      <sz val="11"/>
      <color theme="1"/>
      <name val="Calibri Light"/>
      <family val="2"/>
      <scheme val="major"/>
    </font>
    <font>
      <sz val="11"/>
      <color theme="1"/>
      <name val="ＭＳ Ｐゴシック"/>
      <family val="3"/>
      <charset val="128"/>
    </font>
    <font>
      <sz val="11"/>
      <color theme="1"/>
      <name val="Malgun Gothic"/>
      <family val="2"/>
      <charset val="129"/>
    </font>
    <font>
      <sz val="11"/>
      <color theme="1"/>
      <name val="Microsoft YaHei"/>
      <family val="2"/>
      <charset val="134"/>
    </font>
    <font>
      <sz val="16"/>
      <color theme="1"/>
      <name val="Calibri"/>
      <family val="2"/>
      <scheme val="minor"/>
    </font>
    <font>
      <sz val="10"/>
      <name val="Calibri Light"/>
      <family val="2"/>
      <scheme val="major"/>
    </font>
    <font>
      <sz val="20"/>
      <color theme="1"/>
      <name val="Calibri Light"/>
      <family val="2"/>
      <scheme val="major"/>
    </font>
    <font>
      <sz val="10"/>
      <color theme="0"/>
      <name val="Calibri Light"/>
      <family val="2"/>
      <scheme val="major"/>
    </font>
    <font>
      <sz val="11"/>
      <color theme="0"/>
      <name val="Calibri Light"/>
      <family val="2"/>
      <scheme val="major"/>
    </font>
    <font>
      <sz val="11"/>
      <color theme="1"/>
      <name val="Calibri Light"/>
      <family val="2"/>
      <scheme val="major"/>
    </font>
    <font>
      <sz val="20"/>
      <color theme="1"/>
      <name val="Calibri "/>
      <family val="2"/>
    </font>
    <font>
      <sz val="11"/>
      <name val="Calibri Light"/>
      <family val="2"/>
      <scheme val="major"/>
    </font>
    <font>
      <sz val="24"/>
      <color theme="1"/>
      <name val="Calibri"/>
      <family val="2"/>
      <scheme val="minor"/>
    </font>
    <font>
      <sz val="24"/>
      <color theme="1"/>
      <name val="Calibri"/>
      <family val="2"/>
      <scheme val="minor"/>
    </font>
    <font>
      <sz val="2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20"/>
      <color theme="1"/>
      <name val="Times New Roman"/>
      <family val="1"/>
    </font>
    <font>
      <sz val="12"/>
      <color theme="1"/>
      <name val="Times New Roman"/>
      <family val="1"/>
    </font>
    <font>
      <sz val="10"/>
      <color theme="1"/>
      <name val="ＭＳ Ｐ明朝"/>
      <family val="1"/>
      <charset val="128"/>
    </font>
    <font>
      <sz val="10"/>
      <color theme="1"/>
      <name val="ＭＳ 明朝"/>
      <family val="1"/>
      <charset val="128"/>
    </font>
    <font>
      <b/>
      <sz val="10"/>
      <color theme="1"/>
      <name val="ＭＳ Ｐ明朝"/>
      <family val="1"/>
      <charset val="128"/>
    </font>
    <font>
      <b/>
      <sz val="10"/>
      <color theme="1"/>
      <name val="Times New Roman"/>
      <family val="1"/>
    </font>
    <font>
      <sz val="10"/>
      <color indexed="8"/>
      <name val="Times New Roman"/>
      <family val="1"/>
    </font>
    <font>
      <sz val="20"/>
      <color indexed="8"/>
      <name val="Times New Roman"/>
      <family val="1"/>
    </font>
    <font>
      <sz val="22"/>
      <color indexed="8"/>
      <name val="Times New Roman"/>
      <family val="1"/>
    </font>
    <font>
      <b/>
      <sz val="8.25"/>
      <color rgb="FFE80028"/>
      <name val="Times New Roman"/>
      <family val="1"/>
    </font>
    <font>
      <sz val="9"/>
      <color indexed="8"/>
      <name val="Times New Roman"/>
      <family val="1"/>
    </font>
    <font>
      <sz val="8"/>
      <color rgb="FFFF0000"/>
      <name val="Times New Roman"/>
      <family val="1"/>
    </font>
    <font>
      <sz val="18"/>
      <color theme="1"/>
      <name val="Times New Roman"/>
      <family val="1"/>
    </font>
    <font>
      <sz val="7.5"/>
      <color theme="1"/>
      <name val="Times New Roman"/>
      <family val="1"/>
    </font>
    <font>
      <sz val="7"/>
      <color indexed="8"/>
      <name val="Times New Roman"/>
      <family val="1"/>
    </font>
    <font>
      <sz val="11"/>
      <color rgb="FFFF0000"/>
      <name val="Times New Roman"/>
      <family val="1"/>
    </font>
    <font>
      <sz val="16"/>
      <color indexed="8"/>
      <name val="Times New Roman"/>
      <family val="1"/>
    </font>
    <font>
      <sz val="10"/>
      <color rgb="FFFF0000"/>
      <name val="Times New Roman"/>
      <family val="1"/>
    </font>
    <font>
      <sz val="9"/>
      <color theme="1"/>
      <name val="Times New Roman"/>
      <family val="1"/>
    </font>
    <font>
      <sz val="12"/>
      <color theme="1"/>
      <name val="Wingdings"/>
      <charset val="2"/>
    </font>
    <font>
      <sz val="20"/>
      <name val="Times New Roman"/>
      <family val="1"/>
    </font>
    <font>
      <b/>
      <sz val="12"/>
      <color theme="1"/>
      <name val="Times New Roman"/>
      <family val="1"/>
    </font>
    <font>
      <sz val="14"/>
      <color theme="1"/>
      <name val="Times New Roman"/>
      <family val="1"/>
    </font>
    <font>
      <sz val="10"/>
      <color theme="1"/>
      <name val="Times New Roman"/>
      <family val="1"/>
    </font>
    <font>
      <b/>
      <sz val="16"/>
      <color theme="1"/>
      <name val="Times New Roman"/>
      <family val="1"/>
    </font>
    <font>
      <b/>
      <sz val="14"/>
      <color theme="1"/>
      <name val="Times New Roman"/>
      <family val="1"/>
    </font>
    <font>
      <sz val="8.25"/>
      <color theme="1"/>
      <name val="Times New Roman"/>
      <family val="1"/>
    </font>
    <font>
      <b/>
      <sz val="8"/>
      <color rgb="FFE80028"/>
      <name val="Times New Roman"/>
      <family val="1"/>
    </font>
    <font>
      <sz val="20"/>
      <color rgb="FFFF0000"/>
      <name val="Times New Roman"/>
      <family val="1"/>
    </font>
    <font>
      <sz val="11"/>
      <name val="Times New Roman"/>
      <family val="1"/>
    </font>
    <font>
      <sz val="8"/>
      <color theme="1"/>
      <name val="Times New Roman"/>
      <family val="1"/>
    </font>
    <font>
      <sz val="8"/>
      <color theme="1"/>
      <name val="Times New Roman"/>
      <family val="1"/>
    </font>
    <font>
      <sz val="7"/>
      <color theme="1"/>
      <name val="FangSong"/>
      <family val="3"/>
      <charset val="134"/>
    </font>
    <font>
      <sz val="7"/>
      <color theme="1"/>
      <name val="ＭＳ Ｐ明朝"/>
      <family val="1"/>
      <charset val="128"/>
    </font>
    <font>
      <sz val="11"/>
      <color theme="1"/>
      <name val="Calibri"/>
      <family val="2"/>
    </font>
    <font>
      <sz val="11"/>
      <color theme="1"/>
      <name val="Segoe UI"/>
      <family val="2"/>
    </font>
    <font>
      <sz val="10"/>
      <name val="Calibri"/>
      <family val="2"/>
    </font>
    <font>
      <sz val="11"/>
      <name val="Calibri"/>
      <family val="2"/>
    </font>
    <font>
      <b/>
      <sz val="9"/>
      <name val="BatangChe"/>
      <family val="3"/>
      <charset val="129"/>
    </font>
    <font>
      <b/>
      <sz val="9"/>
      <name val="FangSong"/>
      <family val="3"/>
      <charset val="134"/>
    </font>
    <font>
      <b/>
      <sz val="9"/>
      <name val="ＭＳ Ｐゴシック"/>
      <family val="3"/>
      <charset val="128"/>
    </font>
    <font>
      <b/>
      <sz val="9"/>
      <name val="Tahoma"/>
      <family val="2"/>
    </font>
    <font>
      <sz val="10"/>
      <color theme="1"/>
      <name val="Calibri Light"/>
      <family val="2"/>
      <scheme val="major"/>
    </font>
    <font>
      <sz val="8"/>
      <color theme="1"/>
      <name val="Times New Roman"/>
      <family val="1"/>
    </font>
    <font>
      <sz val="11"/>
      <color theme="1"/>
      <name val="Calibri Light"/>
      <family val="2"/>
      <scheme val="major"/>
    </font>
    <font>
      <sz val="10"/>
      <color theme="1"/>
      <name val="Times New Roman"/>
      <family val="1"/>
    </font>
    <font>
      <sz val="8"/>
      <color theme="1"/>
      <name val="ＭＳ Ｐ明朝"/>
      <family val="1"/>
      <charset val="128"/>
    </font>
    <font>
      <sz val="6"/>
      <name val="Calibri"/>
      <family val="3"/>
      <charset val="128"/>
      <scheme val="minor"/>
    </font>
  </fonts>
  <fills count="25">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0" tint="-0.14996795556505021"/>
        <bgColor indexed="64"/>
      </patternFill>
    </fill>
    <fill>
      <patternFill patternType="solid">
        <fgColor rgb="FFFFFF00"/>
        <bgColor indexed="64"/>
      </patternFill>
    </fill>
    <fill>
      <patternFill patternType="solid">
        <fgColor theme="7" tint="0.79995117038483843"/>
        <bgColor indexed="64"/>
      </patternFill>
    </fill>
    <fill>
      <patternFill patternType="solid">
        <fgColor rgb="FFFFC0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79995117038483843"/>
        <bgColor indexed="64"/>
      </patternFill>
    </fill>
    <fill>
      <patternFill patternType="solid">
        <fgColor theme="0" tint="-4.9989318521683403E-2"/>
        <bgColor indexed="64"/>
      </patternFill>
    </fill>
    <fill>
      <patternFill patternType="solid">
        <fgColor theme="7" tint="0.39994506668294322"/>
        <bgColor indexed="64"/>
      </patternFill>
    </fill>
    <fill>
      <patternFill patternType="solid">
        <fgColor theme="8" tint="0.79995117038483843"/>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79995117038483843"/>
        <bgColor indexed="64"/>
      </patternFill>
    </fill>
    <fill>
      <patternFill patternType="solid">
        <fgColor theme="9" tint="0.39994506668294322"/>
        <bgColor indexed="64"/>
      </patternFill>
    </fill>
    <fill>
      <patternFill patternType="solid">
        <fgColor theme="3" tint="0.79995117038483843"/>
        <bgColor indexed="64"/>
      </patternFill>
    </fill>
    <fill>
      <patternFill patternType="solid">
        <fgColor theme="7" tint="0.79992065187536243"/>
        <bgColor indexed="64"/>
      </patternFill>
    </fill>
    <fill>
      <patternFill patternType="solid">
        <fgColor theme="9" tint="0.79992065187536243"/>
        <bgColor indexed="64"/>
      </patternFill>
    </fill>
    <fill>
      <patternFill patternType="solid">
        <fgColor theme="1"/>
        <bgColor indexed="64"/>
      </patternFill>
    </fill>
    <fill>
      <patternFill patternType="solid">
        <fgColor theme="0" tint="-0.14993743705557422"/>
        <bgColor indexed="64"/>
      </patternFill>
    </fill>
    <fill>
      <patternFill patternType="solid">
        <fgColor theme="8" tint="0.79992065187536243"/>
        <bgColor indexed="64"/>
      </patternFill>
    </fill>
    <fill>
      <patternFill patternType="solid">
        <fgColor theme="2" tint="-9.9978637043366805E-2"/>
        <bgColor indexed="64"/>
      </patternFill>
    </fill>
  </fills>
  <borders count="162">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bottom style="double">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medium">
        <color auto="1"/>
      </right>
      <top style="double">
        <color auto="1"/>
      </top>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top/>
      <bottom style="medium">
        <color auto="1"/>
      </bottom>
      <diagonal/>
    </border>
    <border>
      <left style="medium">
        <color auto="1"/>
      </left>
      <right/>
      <top/>
      <bottom/>
      <diagonal/>
    </border>
    <border>
      <left style="thin">
        <color auto="1"/>
      </left>
      <right/>
      <top/>
      <bottom style="thin">
        <color auto="1"/>
      </bottom>
      <diagonal/>
    </border>
    <border>
      <left style="medium">
        <color auto="1"/>
      </left>
      <right/>
      <top/>
      <bottom style="double">
        <color auto="1"/>
      </bottom>
      <diagonal/>
    </border>
    <border>
      <left style="thin">
        <color auto="1"/>
      </left>
      <right/>
      <top style="thin">
        <color auto="1"/>
      </top>
      <bottom style="double">
        <color auto="1"/>
      </bottom>
      <diagonal/>
    </border>
    <border>
      <left style="medium">
        <color auto="1"/>
      </left>
      <right/>
      <top style="double">
        <color auto="1"/>
      </top>
      <bottom/>
      <diagonal/>
    </border>
    <border>
      <left style="thin">
        <color auto="1"/>
      </left>
      <right/>
      <top style="double">
        <color auto="1"/>
      </top>
      <bottom style="thin">
        <color auto="1"/>
      </bottom>
      <diagonal/>
    </border>
    <border>
      <left style="thin">
        <color auto="1"/>
      </left>
      <right/>
      <top style="thin">
        <color auto="1"/>
      </top>
      <bottom style="thin">
        <color auto="1"/>
      </bottom>
      <diagonal/>
    </border>
    <border>
      <left style="medium">
        <color auto="1"/>
      </left>
      <right/>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double">
        <color auto="1"/>
      </bottom>
      <diagonal/>
    </border>
    <border>
      <left style="medium">
        <color auto="1"/>
      </left>
      <right style="medium">
        <color auto="1"/>
      </right>
      <top/>
      <bottom style="thin">
        <color auto="1"/>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style="thin">
        <color auto="1"/>
      </left>
      <right style="medium">
        <color auto="1"/>
      </right>
      <top/>
      <bottom style="medium">
        <color auto="1"/>
      </bottom>
      <diagonal/>
    </border>
    <border>
      <left/>
      <right style="thin">
        <color auto="1"/>
      </right>
      <top style="thin">
        <color auto="1"/>
      </top>
      <bottom style="double">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double">
        <color auto="1"/>
      </bottom>
      <diagonal/>
    </border>
    <border>
      <left style="thin">
        <color auto="1"/>
      </left>
      <right/>
      <top style="medium">
        <color auto="1"/>
      </top>
      <bottom style="double">
        <color auto="1"/>
      </bottom>
      <diagonal/>
    </border>
    <border>
      <left style="medium">
        <color auto="1"/>
      </left>
      <right style="medium">
        <color auto="1"/>
      </right>
      <top style="double">
        <color auto="1"/>
      </top>
      <bottom style="thin">
        <color auto="1"/>
      </bottom>
      <diagonal/>
    </border>
    <border>
      <left style="medium">
        <color auto="1"/>
      </left>
      <right style="thin">
        <color auto="1"/>
      </right>
      <top style="double">
        <color auto="1"/>
      </top>
      <bottom/>
      <diagonal/>
    </border>
    <border>
      <left style="medium">
        <color auto="1"/>
      </left>
      <right style="thin">
        <color auto="1"/>
      </right>
      <top/>
      <bottom style="double">
        <color auto="1"/>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style="medium">
        <color auto="1"/>
      </left>
      <right/>
      <top style="double">
        <color auto="1"/>
      </top>
      <bottom style="thin">
        <color auto="1"/>
      </bottom>
      <diagonal/>
    </border>
    <border>
      <left/>
      <right/>
      <top style="thin">
        <color auto="1"/>
      </top>
      <bottom style="thin">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medium">
        <color auto="1"/>
      </left>
      <right style="thin">
        <color auto="1"/>
      </right>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right style="medium">
        <color auto="1"/>
      </right>
      <top style="double">
        <color auto="1"/>
      </top>
      <bottom style="thin">
        <color auto="1"/>
      </bottom>
      <diagonal/>
    </border>
    <border>
      <left style="thin">
        <color auto="1"/>
      </left>
      <right style="medium">
        <color auto="1"/>
      </right>
      <top style="double">
        <color auto="1"/>
      </top>
      <bottom style="double">
        <color auto="1"/>
      </bottom>
      <diagonal/>
    </border>
    <border>
      <left style="thin">
        <color auto="1"/>
      </left>
      <right style="thin">
        <color auto="1"/>
      </right>
      <top/>
      <bottom style="double">
        <color auto="1"/>
      </bottom>
      <diagonal/>
    </border>
    <border>
      <left style="medium">
        <color auto="1"/>
      </left>
      <right/>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double">
        <color auto="1"/>
      </bottom>
      <diagonal/>
    </border>
    <border>
      <left/>
      <right style="thin">
        <color auto="1"/>
      </right>
      <top style="double">
        <color auto="1"/>
      </top>
      <bottom style="thin">
        <color auto="1"/>
      </bottom>
      <diagonal/>
    </border>
    <border>
      <left style="medium">
        <color auto="1"/>
      </left>
      <right style="thin">
        <color auto="1"/>
      </right>
      <top/>
      <bottom/>
      <diagonal/>
    </border>
    <border>
      <left/>
      <right/>
      <top style="thin">
        <color auto="1"/>
      </top>
      <bottom style="medium">
        <color auto="1"/>
      </bottom>
      <diagonal/>
    </border>
    <border>
      <left/>
      <right style="thin">
        <color auto="1"/>
      </right>
      <top style="thin">
        <color auto="1"/>
      </top>
      <bottom/>
      <diagonal/>
    </border>
    <border>
      <left/>
      <right style="thin">
        <color auto="1"/>
      </right>
      <top/>
      <bottom style="double">
        <color auto="1"/>
      </bottom>
      <diagonal/>
    </border>
    <border>
      <left style="thin">
        <color auto="1"/>
      </left>
      <right style="medium">
        <color auto="1"/>
      </right>
      <top/>
      <bottom style="double">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top style="medium">
        <color auto="1"/>
      </top>
      <bottom style="thin">
        <color auto="1"/>
      </bottom>
      <diagonal/>
    </border>
    <border>
      <left style="thin">
        <color auto="1"/>
      </left>
      <right/>
      <top/>
      <bottom style="double">
        <color auto="1"/>
      </bottom>
      <diagonal/>
    </border>
    <border>
      <left style="thin">
        <color auto="1"/>
      </left>
      <right/>
      <top style="thin">
        <color auto="1"/>
      </top>
      <bottom/>
      <diagonal/>
    </border>
    <border>
      <left/>
      <right/>
      <top style="thin">
        <color auto="1"/>
      </top>
      <bottom/>
      <diagonal/>
    </border>
    <border>
      <left style="hair">
        <color auto="1"/>
      </left>
      <right/>
      <top style="thin">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thin">
        <color auto="1"/>
      </bottom>
      <diagonal/>
    </border>
    <border>
      <left style="thin">
        <color auto="1"/>
      </left>
      <right/>
      <top style="hair">
        <color auto="1"/>
      </top>
      <bottom/>
      <diagonal/>
    </border>
    <border>
      <left/>
      <right style="hair">
        <color auto="1"/>
      </right>
      <top style="hair">
        <color auto="1"/>
      </top>
      <bottom/>
      <diagonal/>
    </border>
    <border>
      <left/>
      <right style="hair">
        <color auto="1"/>
      </right>
      <top style="thin">
        <color auto="1"/>
      </top>
      <bottom/>
      <diagonal/>
    </border>
    <border>
      <left/>
      <right style="hair">
        <color auto="1"/>
      </right>
      <top/>
      <bottom style="thin">
        <color auto="1"/>
      </bottom>
      <diagonal/>
    </border>
    <border>
      <left/>
      <right style="hair">
        <color auto="1"/>
      </right>
      <top/>
      <bottom/>
      <diagonal/>
    </border>
    <border>
      <left/>
      <right style="thin">
        <color auto="1"/>
      </right>
      <top/>
      <bottom style="hair">
        <color auto="1"/>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right/>
      <top style="medium">
        <color auto="1"/>
      </top>
      <bottom style="thin">
        <color auto="1"/>
      </bottom>
      <diagonal/>
    </border>
    <border>
      <left style="medium">
        <color auto="1"/>
      </left>
      <right/>
      <top style="thin">
        <color auto="1"/>
      </top>
      <bottom/>
      <diagonal/>
    </border>
    <border>
      <left/>
      <right/>
      <top/>
      <bottom style="double">
        <color auto="1"/>
      </bottom>
      <diagonal/>
    </border>
    <border>
      <left/>
      <right/>
      <top style="double">
        <color auto="1"/>
      </top>
      <bottom style="thin">
        <color auto="1"/>
      </bottom>
      <diagonal/>
    </border>
    <border>
      <left/>
      <right/>
      <top style="thin">
        <color auto="1"/>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diagonal/>
    </border>
    <border>
      <left style="medium">
        <color auto="1"/>
      </left>
      <right/>
      <top style="medium">
        <color auto="1"/>
      </top>
      <bottom style="double">
        <color auto="1"/>
      </bottom>
      <diagonal/>
    </border>
    <border>
      <left/>
      <right/>
      <top style="medium">
        <color auto="1"/>
      </top>
      <bottom style="double">
        <color auto="1"/>
      </bottom>
      <diagonal/>
    </border>
    <border>
      <left style="thin">
        <color auto="1"/>
      </left>
      <right/>
      <top/>
      <bottom style="medium">
        <color auto="1"/>
      </bottom>
      <diagonal/>
    </border>
    <border>
      <left/>
      <right style="thin">
        <color auto="1"/>
      </right>
      <top style="medium">
        <color auto="1"/>
      </top>
      <bottom style="double">
        <color auto="1"/>
      </bottom>
      <diagonal/>
    </border>
    <border>
      <left/>
      <right style="medium">
        <color auto="1"/>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style="double">
        <color auto="1"/>
      </top>
      <bottom/>
      <diagonal/>
    </border>
    <border>
      <left/>
      <right style="medium">
        <color auto="1"/>
      </right>
      <top/>
      <bottom style="double">
        <color auto="1"/>
      </bottom>
      <diagonal/>
    </border>
    <border>
      <left/>
      <right style="medium">
        <color auto="1"/>
      </right>
      <top style="medium">
        <color auto="1"/>
      </top>
      <bottom style="double">
        <color auto="1"/>
      </bottom>
      <diagonal/>
    </border>
    <border>
      <left/>
      <right style="medium">
        <color auto="1"/>
      </right>
      <top style="double">
        <color auto="1"/>
      </top>
      <bottom/>
      <diagonal/>
    </border>
    <border>
      <left/>
      <right style="medium">
        <color auto="1"/>
      </right>
      <top/>
      <bottom style="medium">
        <color auto="1"/>
      </bottom>
      <diagonal/>
    </border>
    <border>
      <left/>
      <right style="thin">
        <color auto="1"/>
      </right>
      <top style="medium">
        <color auto="1"/>
      </top>
      <bottom style="medium">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s>
  <cellStyleXfs count="4">
    <xf numFmtId="0" fontId="0" fillId="0" borderId="0">
      <alignment vertical="center"/>
    </xf>
    <xf numFmtId="0" fontId="47" fillId="0" borderId="0">
      <alignment vertical="center"/>
    </xf>
    <xf numFmtId="0" fontId="47" fillId="0" borderId="0">
      <alignment vertical="center"/>
    </xf>
    <xf numFmtId="0" fontId="17" fillId="0" borderId="0"/>
  </cellStyleXfs>
  <cellXfs count="2048">
    <xf numFmtId="0" fontId="0" fillId="0" borderId="0" xfId="0">
      <alignment vertical="center"/>
    </xf>
    <xf numFmtId="49" fontId="2" fillId="0" borderId="0" xfId="0" applyNumberFormat="1" applyFont="1">
      <alignment vertical="center"/>
    </xf>
    <xf numFmtId="0" fontId="4" fillId="0" borderId="1" xfId="0" applyFont="1" applyBorder="1" applyAlignment="1">
      <alignment horizontal="center" vertical="center" wrapText="1"/>
    </xf>
    <xf numFmtId="166" fontId="2" fillId="0" borderId="0" xfId="0" applyNumberFormat="1" applyFont="1">
      <alignment vertical="center"/>
    </xf>
    <xf numFmtId="166" fontId="5" fillId="2" borderId="1" xfId="0" applyNumberFormat="1" applyFont="1" applyFill="1" applyBorder="1" applyProtection="1">
      <alignment vertical="center"/>
      <protection locked="0"/>
    </xf>
    <xf numFmtId="0" fontId="2" fillId="0" borderId="1" xfId="0" applyFont="1" applyBorder="1" applyAlignment="1">
      <alignment horizontal="center" vertical="center"/>
    </xf>
    <xf numFmtId="166" fontId="3" fillId="0" borderId="1" xfId="0" applyNumberFormat="1" applyFont="1" applyBorder="1" applyAlignment="1">
      <alignment horizontal="left" vertical="center"/>
    </xf>
    <xf numFmtId="0" fontId="2" fillId="0" borderId="0" xfId="0" applyFont="1">
      <alignment vertical="center"/>
    </xf>
    <xf numFmtId="166" fontId="5" fillId="2" borderId="3" xfId="0" applyNumberFormat="1" applyFont="1" applyFill="1" applyBorder="1" applyProtection="1">
      <alignment vertical="center"/>
      <protection locked="0"/>
    </xf>
    <xf numFmtId="0" fontId="2" fillId="0" borderId="3" xfId="0" applyFont="1" applyBorder="1" applyAlignment="1">
      <alignment horizontal="center" vertical="center"/>
    </xf>
    <xf numFmtId="49" fontId="2" fillId="0" borderId="1" xfId="0" applyNumberFormat="1" applyFont="1" applyBorder="1">
      <alignment vertical="center"/>
    </xf>
    <xf numFmtId="167" fontId="2" fillId="0" borderId="1" xfId="0" applyNumberFormat="1" applyFont="1" applyBorder="1">
      <alignment vertical="center"/>
    </xf>
    <xf numFmtId="49" fontId="2" fillId="0" borderId="1" xfId="0" applyNumberFormat="1" applyFont="1" applyBorder="1" applyAlignment="1">
      <alignment horizontal="center" vertical="center"/>
    </xf>
    <xf numFmtId="167" fontId="2" fillId="0" borderId="1" xfId="0" applyNumberFormat="1" applyFont="1" applyBorder="1" applyAlignment="1">
      <alignment horizontal="center" vertical="center"/>
    </xf>
    <xf numFmtId="0" fontId="2" fillId="0" borderId="1" xfId="0" applyFont="1" applyBorder="1">
      <alignment vertical="center"/>
    </xf>
    <xf numFmtId="0" fontId="5" fillId="0" borderId="1" xfId="0" applyFont="1" applyBorder="1" applyAlignment="1">
      <alignment horizontal="center" vertical="center"/>
    </xf>
    <xf numFmtId="166" fontId="2" fillId="0" borderId="1" xfId="0" applyNumberFormat="1" applyFont="1" applyBorder="1" applyAlignment="1">
      <alignment horizontal="center" vertical="center"/>
    </xf>
    <xf numFmtId="166" fontId="7" fillId="0" borderId="8" xfId="0" applyNumberFormat="1" applyFont="1" applyBorder="1">
      <alignment vertical="center"/>
    </xf>
    <xf numFmtId="166" fontId="7" fillId="0" borderId="9" xfId="0" applyNumberFormat="1" applyFont="1" applyBorder="1" applyAlignment="1">
      <alignment horizontal="center" vertical="center"/>
    </xf>
    <xf numFmtId="164" fontId="5" fillId="3" borderId="10" xfId="0" applyNumberFormat="1" applyFont="1" applyFill="1" applyBorder="1" applyAlignment="1">
      <alignment horizontal="center" vertical="center" shrinkToFit="1"/>
    </xf>
    <xf numFmtId="166" fontId="5" fillId="0" borderId="1" xfId="0" applyNumberFormat="1" applyFont="1" applyBorder="1" applyAlignment="1">
      <alignment horizontal="center" vertical="center"/>
    </xf>
    <xf numFmtId="168" fontId="5" fillId="0" borderId="1" xfId="0" applyNumberFormat="1" applyFont="1" applyBorder="1" applyAlignment="1">
      <alignment horizontal="center" vertical="center"/>
    </xf>
    <xf numFmtId="164" fontId="5" fillId="3" borderId="11" xfId="0" applyNumberFormat="1" applyFont="1" applyFill="1" applyBorder="1" applyAlignment="1">
      <alignment horizontal="center" vertical="center" shrinkToFit="1"/>
    </xf>
    <xf numFmtId="166" fontId="5" fillId="0" borderId="12" xfId="0" applyNumberFormat="1" applyFont="1" applyBorder="1" applyAlignment="1">
      <alignment horizontal="center" vertical="center"/>
    </xf>
    <xf numFmtId="168" fontId="5" fillId="0" borderId="12" xfId="0" applyNumberFormat="1" applyFont="1" applyBorder="1" applyAlignment="1">
      <alignment horizontal="center" vertical="center"/>
    </xf>
    <xf numFmtId="166" fontId="8" fillId="0" borderId="13" xfId="0" applyNumberFormat="1" applyFont="1" applyBorder="1">
      <alignment vertical="center"/>
    </xf>
    <xf numFmtId="166" fontId="8" fillId="0" borderId="3" xfId="0" applyNumberFormat="1" applyFont="1" applyBorder="1" applyAlignment="1">
      <alignment horizontal="center" vertical="center"/>
    </xf>
    <xf numFmtId="0" fontId="9" fillId="2" borderId="1" xfId="0" applyFont="1" applyFill="1" applyBorder="1" applyAlignment="1" applyProtection="1">
      <alignment horizontal="center"/>
      <protection locked="0"/>
    </xf>
    <xf numFmtId="166" fontId="5" fillId="0" borderId="11" xfId="0" applyNumberFormat="1" applyFont="1" applyBorder="1">
      <alignment vertical="center"/>
    </xf>
    <xf numFmtId="166" fontId="10" fillId="0" borderId="0" xfId="0" applyNumberFormat="1" applyFont="1">
      <alignment vertical="center"/>
    </xf>
    <xf numFmtId="0" fontId="11" fillId="0" borderId="0" xfId="0" applyFont="1">
      <alignment vertical="center"/>
    </xf>
    <xf numFmtId="166" fontId="3" fillId="0" borderId="0" xfId="0" applyNumberFormat="1" applyFont="1" applyAlignment="1">
      <alignment horizontal="center" vertical="center"/>
    </xf>
    <xf numFmtId="166" fontId="2" fillId="0" borderId="0" xfId="0" applyNumberFormat="1" applyFont="1" applyAlignment="1">
      <alignment horizontal="center" vertical="center"/>
    </xf>
    <xf numFmtId="166" fontId="2" fillId="0" borderId="1" xfId="0" applyNumberFormat="1" applyFont="1" applyBorder="1" applyAlignment="1">
      <alignment horizontal="left" vertical="center"/>
    </xf>
    <xf numFmtId="164" fontId="12" fillId="3" borderId="1" xfId="0" applyNumberFormat="1" applyFont="1" applyFill="1" applyBorder="1" applyAlignment="1">
      <alignment horizontal="left" vertical="center" wrapText="1" shrinkToFit="1"/>
    </xf>
    <xf numFmtId="166" fontId="2" fillId="0" borderId="1" xfId="0" applyNumberFormat="1" applyFont="1" applyBorder="1">
      <alignment vertical="center"/>
    </xf>
    <xf numFmtId="169" fontId="2" fillId="0" borderId="1" xfId="0" applyNumberFormat="1" applyFont="1" applyBorder="1" applyAlignment="1">
      <alignment horizontal="center" vertical="center"/>
    </xf>
    <xf numFmtId="166" fontId="7" fillId="0" borderId="9" xfId="0" applyNumberFormat="1" applyFont="1" applyBorder="1">
      <alignment vertical="center"/>
    </xf>
    <xf numFmtId="166" fontId="5" fillId="0" borderId="1" xfId="0" applyNumberFormat="1" applyFont="1" applyBorder="1">
      <alignment vertical="center"/>
    </xf>
    <xf numFmtId="164" fontId="5" fillId="3" borderId="1" xfId="0" applyNumberFormat="1" applyFont="1" applyFill="1" applyBorder="1" applyAlignment="1">
      <alignment vertical="center" shrinkToFit="1"/>
    </xf>
    <xf numFmtId="166" fontId="5" fillId="0" borderId="12" xfId="0" applyNumberFormat="1" applyFont="1" applyBorder="1">
      <alignment vertical="center"/>
    </xf>
    <xf numFmtId="164" fontId="5" fillId="3" borderId="12" xfId="0" applyNumberFormat="1" applyFont="1" applyFill="1" applyBorder="1" applyAlignment="1">
      <alignment vertical="center" shrinkToFit="1"/>
    </xf>
    <xf numFmtId="166" fontId="8" fillId="0" borderId="3" xfId="0" applyNumberFormat="1" applyFont="1" applyBorder="1">
      <alignment vertical="center"/>
    </xf>
    <xf numFmtId="164" fontId="12" fillId="3" borderId="9" xfId="0" applyNumberFormat="1" applyFont="1" applyFill="1" applyBorder="1" applyAlignment="1">
      <alignment vertical="center" shrinkToFit="1"/>
    </xf>
    <xf numFmtId="166" fontId="2" fillId="0" borderId="16" xfId="0" applyNumberFormat="1" applyFont="1" applyBorder="1">
      <alignment vertical="center"/>
    </xf>
    <xf numFmtId="166" fontId="5" fillId="0" borderId="13" xfId="0" applyNumberFormat="1" applyFont="1" applyBorder="1">
      <alignment vertical="center"/>
    </xf>
    <xf numFmtId="166" fontId="5" fillId="0" borderId="3" xfId="0" applyNumberFormat="1" applyFont="1" applyBorder="1" applyAlignment="1">
      <alignment horizontal="center" vertical="center"/>
    </xf>
    <xf numFmtId="164" fontId="12" fillId="3" borderId="1" xfId="0" applyNumberFormat="1" applyFont="1" applyFill="1" applyBorder="1" applyAlignment="1">
      <alignment vertical="center" shrinkToFit="1"/>
    </xf>
    <xf numFmtId="3" fontId="2" fillId="0" borderId="17" xfId="0" applyNumberFormat="1" applyFont="1" applyBorder="1">
      <alignment vertical="center"/>
    </xf>
    <xf numFmtId="166" fontId="5" fillId="0" borderId="10" xfId="0" applyNumberFormat="1" applyFont="1" applyBorder="1">
      <alignment vertical="center"/>
    </xf>
    <xf numFmtId="164" fontId="12" fillId="3" borderId="12" xfId="0" applyNumberFormat="1" applyFont="1" applyFill="1" applyBorder="1" applyAlignment="1">
      <alignment vertical="center" shrinkToFit="1"/>
    </xf>
    <xf numFmtId="3" fontId="2" fillId="0" borderId="18" xfId="0" applyNumberFormat="1" applyFont="1" applyBorder="1">
      <alignment vertical="center"/>
    </xf>
    <xf numFmtId="164" fontId="12" fillId="3" borderId="3" xfId="0" applyNumberFormat="1" applyFont="1" applyFill="1" applyBorder="1" applyAlignment="1">
      <alignment vertical="center" shrinkToFit="1"/>
    </xf>
    <xf numFmtId="166" fontId="2" fillId="0" borderId="21" xfId="0" applyNumberFormat="1" applyFont="1" applyBorder="1">
      <alignment vertical="center"/>
    </xf>
    <xf numFmtId="168" fontId="5" fillId="0" borderId="3" xfId="0" applyNumberFormat="1" applyFont="1" applyBorder="1" applyAlignment="1">
      <alignment horizontal="center" vertical="center"/>
    </xf>
    <xf numFmtId="164" fontId="5" fillId="0" borderId="3"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2" xfId="0" applyNumberFormat="1" applyFont="1" applyBorder="1" applyAlignment="1">
      <alignment horizontal="center" vertical="center"/>
    </xf>
    <xf numFmtId="166" fontId="5" fillId="0" borderId="3" xfId="0" applyNumberFormat="1" applyFont="1" applyBorder="1">
      <alignment vertical="center"/>
    </xf>
    <xf numFmtId="166" fontId="5" fillId="0" borderId="21" xfId="0" applyNumberFormat="1" applyFont="1" applyBorder="1">
      <alignment vertical="center"/>
    </xf>
    <xf numFmtId="166" fontId="5" fillId="0" borderId="17" xfId="0" applyNumberFormat="1" applyFont="1" applyBorder="1">
      <alignment vertical="center"/>
    </xf>
    <xf numFmtId="166" fontId="5" fillId="0" borderId="18" xfId="0" applyNumberFormat="1" applyFont="1" applyBorder="1">
      <alignment vertical="center"/>
    </xf>
    <xf numFmtId="3" fontId="2" fillId="0" borderId="21" xfId="0" applyNumberFormat="1" applyFont="1" applyBorder="1">
      <alignment vertical="center"/>
    </xf>
    <xf numFmtId="164" fontId="12" fillId="3" borderId="0" xfId="0" applyNumberFormat="1" applyFont="1" applyFill="1" applyAlignment="1">
      <alignment vertical="center" shrinkToFit="1"/>
    </xf>
    <xf numFmtId="164" fontId="12" fillId="0" borderId="0" xfId="0" applyNumberFormat="1" applyFont="1" applyAlignment="1">
      <alignment vertical="center" shrinkToFit="1"/>
    </xf>
    <xf numFmtId="49" fontId="4" fillId="0" borderId="0" xfId="0" applyNumberFormat="1" applyFont="1" applyAlignment="1">
      <alignment wrapText="1"/>
    </xf>
    <xf numFmtId="0" fontId="5" fillId="0" borderId="0" xfId="0" applyFont="1" applyAlignment="1">
      <alignment vertical="center" wrapText="1"/>
    </xf>
    <xf numFmtId="166" fontId="5" fillId="0" borderId="0" xfId="0" applyNumberFormat="1" applyFont="1">
      <alignment vertical="center"/>
    </xf>
    <xf numFmtId="0" fontId="5" fillId="0" borderId="0" xfId="0" applyFont="1">
      <alignment vertical="center"/>
    </xf>
    <xf numFmtId="0" fontId="14" fillId="0" borderId="0" xfId="3" applyFont="1"/>
    <xf numFmtId="0" fontId="15" fillId="0" borderId="0" xfId="3" applyFont="1" applyAlignment="1">
      <alignment horizontal="center"/>
    </xf>
    <xf numFmtId="0" fontId="16" fillId="0" borderId="0" xfId="3" applyFont="1"/>
    <xf numFmtId="0" fontId="17" fillId="0" borderId="0" xfId="3"/>
    <xf numFmtId="0" fontId="14" fillId="0" borderId="0" xfId="3" applyFont="1" applyAlignment="1">
      <alignment horizontal="left"/>
    </xf>
    <xf numFmtId="1" fontId="14" fillId="0" borderId="0" xfId="3" applyNumberFormat="1" applyFont="1"/>
    <xf numFmtId="0" fontId="18" fillId="0" borderId="0" xfId="3" applyFont="1"/>
    <xf numFmtId="0" fontId="19" fillId="0" borderId="0" xfId="3" applyFont="1" applyAlignment="1">
      <alignment vertical="center" textRotation="180" wrapText="1"/>
    </xf>
    <xf numFmtId="0" fontId="20" fillId="0" borderId="0" xfId="3" applyFont="1" applyAlignment="1">
      <alignment horizontal="center" vertical="center"/>
    </xf>
    <xf numFmtId="0" fontId="16" fillId="0" borderId="0" xfId="3" applyFont="1" applyAlignment="1">
      <alignment horizontal="center" vertical="center"/>
    </xf>
    <xf numFmtId="0" fontId="17" fillId="0" borderId="23" xfId="3" applyBorder="1" applyAlignment="1">
      <alignment horizontal="center"/>
    </xf>
    <xf numFmtId="0" fontId="21" fillId="0" borderId="24" xfId="3" applyFont="1" applyBorder="1" applyAlignment="1">
      <alignment horizontal="center"/>
    </xf>
    <xf numFmtId="0" fontId="21" fillId="0" borderId="25" xfId="3" applyFont="1" applyBorder="1" applyAlignment="1">
      <alignment horizontal="center"/>
    </xf>
    <xf numFmtId="0" fontId="14" fillId="0" borderId="0" xfId="3" applyFont="1" applyAlignment="1">
      <alignment horizontal="center" vertical="center"/>
    </xf>
    <xf numFmtId="0" fontId="16" fillId="5" borderId="9" xfId="3" applyFont="1" applyFill="1" applyBorder="1"/>
    <xf numFmtId="0" fontId="16" fillId="5" borderId="16" xfId="3" applyFont="1" applyFill="1" applyBorder="1"/>
    <xf numFmtId="0" fontId="14" fillId="0" borderId="29" xfId="3" applyFont="1" applyBorder="1"/>
    <xf numFmtId="0" fontId="14" fillId="5" borderId="8" xfId="3" applyFont="1" applyFill="1" applyBorder="1"/>
    <xf numFmtId="0" fontId="16" fillId="6" borderId="9" xfId="3" applyFont="1" applyFill="1" applyBorder="1" applyAlignment="1">
      <alignment horizontal="left" indent="1"/>
    </xf>
    <xf numFmtId="0" fontId="16" fillId="7" borderId="1" xfId="3" applyFont="1" applyFill="1" applyBorder="1"/>
    <xf numFmtId="0" fontId="16" fillId="7" borderId="17" xfId="0" applyFont="1" applyFill="1" applyBorder="1" applyAlignment="1"/>
    <xf numFmtId="0" fontId="14" fillId="5" borderId="10" xfId="3" applyFont="1" applyFill="1" applyBorder="1"/>
    <xf numFmtId="0" fontId="16" fillId="6" borderId="1" xfId="3" applyFont="1" applyFill="1" applyBorder="1" applyAlignment="1">
      <alignment horizontal="left" indent="1"/>
    </xf>
    <xf numFmtId="0" fontId="16" fillId="8" borderId="1" xfId="3" applyFont="1" applyFill="1" applyBorder="1"/>
    <xf numFmtId="0" fontId="16" fillId="8" borderId="17" xfId="0" applyFont="1" applyFill="1" applyBorder="1" applyAlignment="1"/>
    <xf numFmtId="0" fontId="14" fillId="7" borderId="10" xfId="3" applyFont="1" applyFill="1" applyBorder="1"/>
    <xf numFmtId="0" fontId="16" fillId="9" borderId="1" xfId="3" applyFont="1" applyFill="1" applyBorder="1"/>
    <xf numFmtId="166" fontId="16" fillId="9" borderId="17" xfId="0" applyNumberFormat="1" applyFont="1" applyFill="1" applyBorder="1">
      <alignment vertical="center"/>
    </xf>
    <xf numFmtId="166" fontId="16" fillId="10" borderId="12" xfId="0" applyNumberFormat="1" applyFont="1" applyFill="1" applyBorder="1">
      <alignment vertical="center"/>
    </xf>
    <xf numFmtId="166" fontId="16" fillId="10" borderId="18" xfId="0" applyNumberFormat="1" applyFont="1" applyFill="1" applyBorder="1">
      <alignment vertical="center"/>
    </xf>
    <xf numFmtId="0" fontId="14" fillId="0" borderId="31" xfId="3" applyFont="1" applyBorder="1"/>
    <xf numFmtId="0" fontId="14" fillId="8" borderId="10" xfId="3" applyFont="1" applyFill="1" applyBorder="1"/>
    <xf numFmtId="0" fontId="16" fillId="5" borderId="3" xfId="3" applyFont="1" applyFill="1" applyBorder="1"/>
    <xf numFmtId="0" fontId="16" fillId="5" borderId="21" xfId="0" applyFont="1" applyFill="1" applyBorder="1" applyAlignment="1"/>
    <xf numFmtId="0" fontId="14" fillId="9" borderId="10" xfId="3" applyFont="1" applyFill="1" applyBorder="1"/>
    <xf numFmtId="0" fontId="14" fillId="0" borderId="32" xfId="3" applyFont="1" applyBorder="1"/>
    <xf numFmtId="0" fontId="16" fillId="9" borderId="17" xfId="0" applyFont="1" applyFill="1" applyBorder="1" applyAlignment="1"/>
    <xf numFmtId="49" fontId="14" fillId="0" borderId="0" xfId="3" applyNumberFormat="1" applyFont="1" applyAlignment="1">
      <alignment horizontal="center" vertical="center" wrapText="1"/>
    </xf>
    <xf numFmtId="0" fontId="14" fillId="10" borderId="10" xfId="3" applyFont="1" applyFill="1" applyBorder="1"/>
    <xf numFmtId="166" fontId="16" fillId="10" borderId="34" xfId="0" applyNumberFormat="1" applyFont="1" applyFill="1" applyBorder="1">
      <alignment vertical="center"/>
    </xf>
    <xf numFmtId="0" fontId="16" fillId="10" borderId="35" xfId="0" applyFont="1" applyFill="1" applyBorder="1" applyAlignment="1"/>
    <xf numFmtId="0" fontId="22" fillId="0" borderId="0" xfId="3" applyFont="1" applyAlignment="1">
      <alignment vertical="center"/>
    </xf>
    <xf numFmtId="0" fontId="14" fillId="10" borderId="33" xfId="3" applyFont="1" applyFill="1" applyBorder="1"/>
    <xf numFmtId="0" fontId="16" fillId="6" borderId="34" xfId="3" applyFont="1" applyFill="1" applyBorder="1" applyAlignment="1">
      <alignment horizontal="left" indent="1"/>
    </xf>
    <xf numFmtId="0" fontId="16" fillId="5" borderId="16" xfId="0" applyFont="1" applyFill="1" applyBorder="1" applyAlignment="1"/>
    <xf numFmtId="0" fontId="14" fillId="0" borderId="0" xfId="3" applyFont="1" applyAlignment="1">
      <alignment horizontal="left" vertical="center" indent="1"/>
    </xf>
    <xf numFmtId="0" fontId="16" fillId="10" borderId="18" xfId="0" applyFont="1" applyFill="1" applyBorder="1" applyAlignment="1"/>
    <xf numFmtId="49" fontId="14" fillId="0" borderId="0" xfId="3" applyNumberFormat="1" applyFont="1" applyAlignment="1">
      <alignment horizontal="left" vertical="center" indent="1"/>
    </xf>
    <xf numFmtId="0" fontId="14" fillId="6" borderId="8" xfId="3" applyFont="1" applyFill="1" applyBorder="1"/>
    <xf numFmtId="0" fontId="16" fillId="11" borderId="9" xfId="3" applyFont="1" applyFill="1" applyBorder="1" applyAlignment="1">
      <alignment horizontal="left" indent="1"/>
    </xf>
    <xf numFmtId="0" fontId="16" fillId="11" borderId="16" xfId="3" applyFont="1" applyFill="1" applyBorder="1" applyAlignment="1">
      <alignment horizontal="left" indent="1"/>
    </xf>
    <xf numFmtId="0" fontId="14" fillId="6" borderId="10" xfId="3" applyFont="1" applyFill="1" applyBorder="1"/>
    <xf numFmtId="0" fontId="16" fillId="11" borderId="1" xfId="3" applyFont="1" applyFill="1" applyBorder="1" applyAlignment="1">
      <alignment horizontal="left" indent="1"/>
    </xf>
    <xf numFmtId="0" fontId="16" fillId="11" borderId="17" xfId="3" applyFont="1" applyFill="1" applyBorder="1" applyAlignment="1">
      <alignment horizontal="left" indent="1"/>
    </xf>
    <xf numFmtId="0" fontId="14" fillId="6" borderId="37" xfId="3" applyFont="1" applyFill="1" applyBorder="1"/>
    <xf numFmtId="0" fontId="16" fillId="11" borderId="38" xfId="3" applyFont="1" applyFill="1" applyBorder="1" applyAlignment="1">
      <alignment horizontal="left" indent="1"/>
    </xf>
    <xf numFmtId="0" fontId="16" fillId="11" borderId="39" xfId="3" applyFont="1" applyFill="1" applyBorder="1" applyAlignment="1">
      <alignment horizontal="left" indent="1"/>
    </xf>
    <xf numFmtId="0" fontId="14" fillId="0" borderId="0" xfId="3" applyFont="1" applyAlignment="1">
      <alignment horizontal="center" vertical="center" wrapText="1"/>
    </xf>
    <xf numFmtId="0" fontId="14" fillId="6" borderId="41" xfId="3" applyFont="1" applyFill="1" applyBorder="1"/>
    <xf numFmtId="0" fontId="16" fillId="11" borderId="42" xfId="3" applyFont="1" applyFill="1" applyBorder="1" applyAlignment="1">
      <alignment horizontal="left" indent="1"/>
    </xf>
    <xf numFmtId="0" fontId="16" fillId="11" borderId="43" xfId="3" applyFont="1" applyFill="1" applyBorder="1" applyAlignment="1">
      <alignment horizontal="left" indent="1"/>
    </xf>
    <xf numFmtId="0" fontId="14" fillId="0" borderId="0" xfId="3" applyFont="1" applyAlignment="1">
      <alignment vertical="center" wrapText="1"/>
    </xf>
    <xf numFmtId="0" fontId="14" fillId="6" borderId="13" xfId="3" applyFont="1" applyFill="1" applyBorder="1"/>
    <xf numFmtId="0" fontId="16" fillId="11" borderId="3" xfId="3" applyFont="1" applyFill="1" applyBorder="1" applyAlignment="1">
      <alignment horizontal="left" indent="1"/>
    </xf>
    <xf numFmtId="0" fontId="16" fillId="11" borderId="21" xfId="3" applyFont="1" applyFill="1" applyBorder="1" applyAlignment="1">
      <alignment horizontal="left" indent="1"/>
    </xf>
    <xf numFmtId="166" fontId="14" fillId="0" borderId="0" xfId="0" applyNumberFormat="1" applyFont="1">
      <alignment vertical="center"/>
    </xf>
    <xf numFmtId="0" fontId="14" fillId="6" borderId="11" xfId="3" applyFont="1" applyFill="1" applyBorder="1"/>
    <xf numFmtId="0" fontId="16" fillId="11" borderId="12" xfId="3" applyFont="1" applyFill="1" applyBorder="1" applyAlignment="1">
      <alignment horizontal="left" indent="1"/>
    </xf>
    <xf numFmtId="0" fontId="16" fillId="11" borderId="18" xfId="3" applyFont="1" applyFill="1" applyBorder="1" applyAlignment="1">
      <alignment horizontal="left" indent="1"/>
    </xf>
    <xf numFmtId="0" fontId="14" fillId="0" borderId="44" xfId="3" applyFont="1" applyBorder="1"/>
    <xf numFmtId="49" fontId="16" fillId="6" borderId="13" xfId="0" applyNumberFormat="1" applyFont="1" applyFill="1" applyBorder="1" applyAlignment="1">
      <alignment horizontal="left" vertical="center" indent="1"/>
    </xf>
    <xf numFmtId="0" fontId="16" fillId="11" borderId="46" xfId="0" applyFont="1" applyFill="1" applyBorder="1" applyAlignment="1">
      <alignment horizontal="left" vertical="center" wrapText="1" indent="1"/>
    </xf>
    <xf numFmtId="0" fontId="14" fillId="0" borderId="46" xfId="3" applyFont="1" applyBorder="1"/>
    <xf numFmtId="49" fontId="16" fillId="6" borderId="37" xfId="0" applyNumberFormat="1" applyFont="1" applyFill="1" applyBorder="1" applyAlignment="1">
      <alignment horizontal="left" vertical="center" indent="1"/>
    </xf>
    <xf numFmtId="0" fontId="16" fillId="11" borderId="48" xfId="0" applyFont="1" applyFill="1" applyBorder="1" applyAlignment="1">
      <alignment horizontal="left" vertical="center" wrapText="1" indent="1"/>
    </xf>
    <xf numFmtId="0" fontId="14" fillId="0" borderId="48" xfId="3" applyFont="1" applyBorder="1"/>
    <xf numFmtId="166" fontId="16" fillId="6" borderId="41" xfId="0" applyNumberFormat="1" applyFont="1" applyFill="1" applyBorder="1" applyAlignment="1">
      <alignment horizontal="left" vertical="center" indent="1"/>
    </xf>
    <xf numFmtId="0" fontId="16" fillId="11" borderId="50" xfId="3" applyFont="1" applyFill="1" applyBorder="1" applyAlignment="1">
      <alignment horizontal="left" indent="1"/>
    </xf>
    <xf numFmtId="166" fontId="16" fillId="6" borderId="10" xfId="0" applyNumberFormat="1" applyFont="1" applyFill="1" applyBorder="1" applyAlignment="1">
      <alignment horizontal="left" vertical="center" indent="1"/>
    </xf>
    <xf numFmtId="0" fontId="16" fillId="11" borderId="51" xfId="3" applyFont="1" applyFill="1" applyBorder="1" applyAlignment="1">
      <alignment horizontal="left" indent="1"/>
    </xf>
    <xf numFmtId="0" fontId="14" fillId="0" borderId="51" xfId="3" applyFont="1" applyBorder="1"/>
    <xf numFmtId="0" fontId="16" fillId="6" borderId="37" xfId="3" applyFont="1" applyFill="1" applyBorder="1" applyAlignment="1">
      <alignment horizontal="left" indent="1"/>
    </xf>
    <xf numFmtId="0" fontId="16" fillId="11" borderId="48" xfId="3" applyFont="1" applyFill="1" applyBorder="1" applyAlignment="1">
      <alignment horizontal="left" indent="1"/>
    </xf>
    <xf numFmtId="0" fontId="28" fillId="0" borderId="48" xfId="3" applyFont="1" applyBorder="1"/>
    <xf numFmtId="0" fontId="16" fillId="6" borderId="10" xfId="3" applyFont="1" applyFill="1" applyBorder="1" applyAlignment="1">
      <alignment horizontal="left" indent="1"/>
    </xf>
    <xf numFmtId="0" fontId="16" fillId="9" borderId="41" xfId="3" applyFont="1" applyFill="1" applyBorder="1" applyAlignment="1">
      <alignment horizontal="left" indent="1"/>
    </xf>
    <xf numFmtId="0" fontId="16" fillId="9" borderId="37" xfId="3" applyFont="1" applyFill="1" applyBorder="1" applyAlignment="1">
      <alignment horizontal="left" indent="1"/>
    </xf>
    <xf numFmtId="0" fontId="16" fillId="6" borderId="13" xfId="3" applyFont="1" applyFill="1" applyBorder="1" applyAlignment="1">
      <alignment horizontal="left" indent="1"/>
    </xf>
    <xf numFmtId="0" fontId="16" fillId="11" borderId="46" xfId="3" applyFont="1" applyFill="1" applyBorder="1" applyAlignment="1">
      <alignment horizontal="left" indent="1"/>
    </xf>
    <xf numFmtId="0" fontId="16" fillId="6" borderId="11" xfId="3" applyFont="1" applyFill="1" applyBorder="1" applyAlignment="1">
      <alignment horizontal="left" indent="1"/>
    </xf>
    <xf numFmtId="0" fontId="16" fillId="11" borderId="53" xfId="3" applyFont="1" applyFill="1" applyBorder="1" applyAlignment="1">
      <alignment horizontal="left" indent="1"/>
    </xf>
    <xf numFmtId="0" fontId="14" fillId="0" borderId="53" xfId="3" applyFont="1" applyBorder="1"/>
    <xf numFmtId="166" fontId="16" fillId="0" borderId="0" xfId="0" applyNumberFormat="1" applyFont="1">
      <alignment vertical="center"/>
    </xf>
    <xf numFmtId="49" fontId="14" fillId="0" borderId="0" xfId="3" applyNumberFormat="1" applyFont="1" applyAlignment="1">
      <alignment vertical="center"/>
    </xf>
    <xf numFmtId="0" fontId="15" fillId="0" borderId="19" xfId="3" applyFont="1" applyBorder="1" applyAlignment="1">
      <alignment horizontal="center"/>
    </xf>
    <xf numFmtId="0" fontId="23" fillId="0" borderId="20" xfId="3" applyFont="1" applyBorder="1" applyAlignment="1">
      <alignment horizontal="center"/>
    </xf>
    <xf numFmtId="0" fontId="22" fillId="0" borderId="20" xfId="3" applyFont="1" applyBorder="1" applyAlignment="1">
      <alignment horizontal="center"/>
    </xf>
    <xf numFmtId="49" fontId="16" fillId="5" borderId="54" xfId="0" applyNumberFormat="1" applyFont="1" applyFill="1" applyBorder="1" applyAlignment="1">
      <alignment horizontal="left" vertical="center" indent="1"/>
    </xf>
    <xf numFmtId="0" fontId="16" fillId="11" borderId="55" xfId="3" applyFont="1" applyFill="1" applyBorder="1" applyAlignment="1">
      <alignment horizontal="left" indent="1"/>
    </xf>
    <xf numFmtId="0" fontId="16" fillId="0" borderId="55" xfId="3" applyFont="1" applyBorder="1" applyAlignment="1">
      <alignment horizontal="left" indent="1"/>
    </xf>
    <xf numFmtId="0" fontId="14" fillId="7" borderId="13" xfId="3" applyFont="1" applyFill="1" applyBorder="1" applyAlignment="1">
      <alignment horizontal="left" vertical="center" indent="1"/>
    </xf>
    <xf numFmtId="0" fontId="14" fillId="11" borderId="3" xfId="3" applyFont="1" applyFill="1" applyBorder="1" applyAlignment="1">
      <alignment horizontal="left" vertical="center" indent="1"/>
    </xf>
    <xf numFmtId="0" fontId="14" fillId="0" borderId="3" xfId="3" applyFont="1" applyBorder="1" applyAlignment="1">
      <alignment horizontal="left" vertical="center" indent="1"/>
    </xf>
    <xf numFmtId="0" fontId="14" fillId="7" borderId="10" xfId="3" applyFont="1" applyFill="1" applyBorder="1" applyAlignment="1">
      <alignment horizontal="left" vertical="center" indent="1"/>
    </xf>
    <xf numFmtId="0" fontId="14" fillId="11" borderId="1" xfId="3" applyFont="1" applyFill="1" applyBorder="1" applyAlignment="1">
      <alignment horizontal="left" vertical="center" indent="1"/>
    </xf>
    <xf numFmtId="0" fontId="14" fillId="0" borderId="1" xfId="3" applyFont="1" applyBorder="1" applyAlignment="1">
      <alignment horizontal="left" vertical="center" indent="1"/>
    </xf>
    <xf numFmtId="0" fontId="14" fillId="7" borderId="37" xfId="3" applyFont="1" applyFill="1" applyBorder="1" applyAlignment="1">
      <alignment horizontal="left" vertical="center" indent="1"/>
    </xf>
    <xf numFmtId="0" fontId="14" fillId="11" borderId="38" xfId="3" applyFont="1" applyFill="1" applyBorder="1" applyAlignment="1">
      <alignment horizontal="left" vertical="center" indent="1"/>
    </xf>
    <xf numFmtId="0" fontId="14" fillId="0" borderId="38" xfId="3" applyFont="1" applyBorder="1" applyAlignment="1">
      <alignment horizontal="left" vertical="center" indent="1"/>
    </xf>
    <xf numFmtId="0" fontId="16" fillId="8" borderId="13" xfId="3" applyFont="1" applyFill="1" applyBorder="1" applyAlignment="1">
      <alignment horizontal="left" indent="1"/>
    </xf>
    <xf numFmtId="0" fontId="16" fillId="0" borderId="3" xfId="3" applyFont="1" applyBorder="1" applyAlignment="1">
      <alignment horizontal="left" indent="1"/>
    </xf>
    <xf numFmtId="0" fontId="16" fillId="8" borderId="10" xfId="3" applyFont="1" applyFill="1" applyBorder="1" applyAlignment="1">
      <alignment horizontal="left" indent="1"/>
    </xf>
    <xf numFmtId="0" fontId="16" fillId="0" borderId="1" xfId="3" applyFont="1" applyBorder="1" applyAlignment="1">
      <alignment horizontal="left" indent="1"/>
    </xf>
    <xf numFmtId="0" fontId="21" fillId="0" borderId="0" xfId="3" applyFont="1" applyAlignment="1">
      <alignment horizontal="center"/>
    </xf>
    <xf numFmtId="0" fontId="16" fillId="0" borderId="0" xfId="3" applyFont="1" applyAlignment="1">
      <alignment horizontal="center"/>
    </xf>
    <xf numFmtId="0" fontId="16" fillId="5" borderId="57" xfId="3" applyFont="1" applyFill="1" applyBorder="1" applyAlignment="1">
      <alignment horizontal="left"/>
    </xf>
    <xf numFmtId="0" fontId="16" fillId="0" borderId="5" xfId="3" applyFont="1" applyBorder="1"/>
    <xf numFmtId="0" fontId="16" fillId="7" borderId="58" xfId="3" applyFont="1" applyFill="1" applyBorder="1" applyAlignment="1">
      <alignment horizontal="left"/>
    </xf>
    <xf numFmtId="0" fontId="16" fillId="0" borderId="59" xfId="3" applyFont="1" applyBorder="1"/>
    <xf numFmtId="0" fontId="16" fillId="8" borderId="58" xfId="3" applyFont="1" applyFill="1" applyBorder="1" applyAlignment="1">
      <alignment horizontal="left"/>
    </xf>
    <xf numFmtId="0" fontId="16" fillId="9" borderId="58" xfId="3" applyFont="1" applyFill="1" applyBorder="1" applyAlignment="1">
      <alignment horizontal="left"/>
    </xf>
    <xf numFmtId="0" fontId="16" fillId="11" borderId="35" xfId="3" applyFont="1" applyFill="1" applyBorder="1" applyAlignment="1">
      <alignment horizontal="left" indent="1"/>
    </xf>
    <xf numFmtId="0" fontId="16" fillId="10" borderId="30" xfId="3" applyFont="1" applyFill="1" applyBorder="1" applyAlignment="1">
      <alignment horizontal="left"/>
    </xf>
    <xf numFmtId="0" fontId="16" fillId="0" borderId="60" xfId="3" applyFont="1" applyBorder="1"/>
    <xf numFmtId="0" fontId="16" fillId="5" borderId="57" xfId="3" applyFont="1" applyFill="1" applyBorder="1"/>
    <xf numFmtId="0" fontId="16" fillId="7" borderId="58" xfId="3" applyFont="1" applyFill="1" applyBorder="1"/>
    <xf numFmtId="0" fontId="16" fillId="8" borderId="58" xfId="3" applyFont="1" applyFill="1" applyBorder="1"/>
    <xf numFmtId="0" fontId="16" fillId="9" borderId="58" xfId="3" applyFont="1" applyFill="1" applyBorder="1"/>
    <xf numFmtId="0" fontId="16" fillId="10" borderId="30" xfId="3" applyFont="1" applyFill="1" applyBorder="1"/>
    <xf numFmtId="0" fontId="16" fillId="0" borderId="61" xfId="3" applyFont="1" applyBorder="1"/>
    <xf numFmtId="0" fontId="16" fillId="0" borderId="8" xfId="3" applyFont="1" applyBorder="1"/>
    <xf numFmtId="0" fontId="16" fillId="0" borderId="10" xfId="3" applyFont="1" applyBorder="1"/>
    <xf numFmtId="0" fontId="16" fillId="0" borderId="11" xfId="3" applyFont="1" applyBorder="1"/>
    <xf numFmtId="49" fontId="16" fillId="0" borderId="21" xfId="0" applyNumberFormat="1" applyFont="1" applyBorder="1" applyAlignment="1">
      <alignment horizontal="left" vertical="center" indent="1"/>
    </xf>
    <xf numFmtId="49" fontId="16" fillId="0" borderId="39" xfId="0" applyNumberFormat="1" applyFont="1" applyBorder="1" applyAlignment="1">
      <alignment horizontal="left" vertical="center" indent="1"/>
    </xf>
    <xf numFmtId="166" fontId="14" fillId="0" borderId="21" xfId="0" applyNumberFormat="1" applyFont="1" applyBorder="1" applyAlignment="1">
      <alignment horizontal="left" vertical="center" indent="1"/>
    </xf>
    <xf numFmtId="166" fontId="14" fillId="0" borderId="17" xfId="0" applyNumberFormat="1" applyFont="1" applyBorder="1" applyAlignment="1">
      <alignment horizontal="left" vertical="center" indent="1"/>
    </xf>
    <xf numFmtId="0" fontId="14" fillId="0" borderId="39" xfId="3" applyFont="1" applyBorder="1" applyAlignment="1">
      <alignment horizontal="left" indent="1"/>
    </xf>
    <xf numFmtId="0" fontId="14" fillId="0" borderId="21" xfId="3" applyFont="1" applyBorder="1" applyAlignment="1">
      <alignment horizontal="left" indent="1"/>
    </xf>
    <xf numFmtId="0" fontId="14" fillId="0" borderId="18" xfId="3" applyFont="1" applyBorder="1" applyAlignment="1">
      <alignment horizontal="left" indent="1"/>
    </xf>
    <xf numFmtId="0" fontId="22" fillId="0" borderId="22" xfId="0" applyFont="1" applyBorder="1" applyAlignment="1">
      <alignment horizontal="center"/>
    </xf>
    <xf numFmtId="0" fontId="30" fillId="0" borderId="62" xfId="3" applyFont="1" applyBorder="1" applyAlignment="1">
      <alignment horizontal="left" indent="1"/>
    </xf>
    <xf numFmtId="0" fontId="16" fillId="5" borderId="63" xfId="3" applyFont="1" applyFill="1" applyBorder="1"/>
    <xf numFmtId="0" fontId="30" fillId="0" borderId="21" xfId="3" applyFont="1" applyBorder="1" applyAlignment="1">
      <alignment horizontal="left" vertical="center" indent="1"/>
    </xf>
    <xf numFmtId="0" fontId="30" fillId="0" borderId="17" xfId="3" applyFont="1" applyBorder="1" applyAlignment="1">
      <alignment horizontal="left" vertical="center" wrapText="1" indent="1"/>
    </xf>
    <xf numFmtId="0" fontId="30" fillId="0" borderId="17" xfId="3" applyFont="1" applyBorder="1" applyAlignment="1">
      <alignment horizontal="left" vertical="center" indent="1"/>
    </xf>
    <xf numFmtId="0" fontId="30" fillId="0" borderId="39" xfId="3" applyFont="1" applyBorder="1" applyAlignment="1">
      <alignment horizontal="left" vertical="center" indent="1"/>
    </xf>
    <xf numFmtId="0" fontId="30" fillId="0" borderId="21" xfId="3" applyFont="1" applyBorder="1" applyAlignment="1">
      <alignment horizontal="left" indent="1"/>
    </xf>
    <xf numFmtId="0" fontId="30" fillId="0" borderId="17" xfId="3" applyFont="1" applyBorder="1" applyAlignment="1">
      <alignment horizontal="left" indent="1"/>
    </xf>
    <xf numFmtId="0" fontId="14" fillId="0" borderId="0" xfId="3" applyFont="1" applyAlignment="1">
      <alignment horizontal="center"/>
    </xf>
    <xf numFmtId="0" fontId="14" fillId="0" borderId="3" xfId="3" applyFont="1" applyBorder="1"/>
    <xf numFmtId="0" fontId="14" fillId="0" borderId="1" xfId="3" applyFont="1" applyBorder="1"/>
    <xf numFmtId="0" fontId="31" fillId="0" borderId="1" xfId="3" applyFont="1" applyBorder="1"/>
    <xf numFmtId="0" fontId="14" fillId="0" borderId="64" xfId="3" applyFont="1" applyBorder="1"/>
    <xf numFmtId="0" fontId="14" fillId="0" borderId="17" xfId="3" applyFont="1" applyBorder="1"/>
    <xf numFmtId="0" fontId="14" fillId="11" borderId="57" xfId="3" applyFont="1" applyFill="1" applyBorder="1"/>
    <xf numFmtId="0" fontId="14" fillId="0" borderId="65" xfId="3" applyFont="1" applyBorder="1"/>
    <xf numFmtId="0" fontId="14" fillId="0" borderId="16" xfId="3" applyFont="1" applyBorder="1"/>
    <xf numFmtId="0" fontId="14" fillId="11" borderId="29" xfId="3" applyFont="1" applyFill="1" applyBorder="1"/>
    <xf numFmtId="0" fontId="14" fillId="0" borderId="8" xfId="3" applyFont="1" applyBorder="1"/>
    <xf numFmtId="0" fontId="14" fillId="0" borderId="9" xfId="3" applyFont="1" applyBorder="1"/>
    <xf numFmtId="0" fontId="14" fillId="11" borderId="58" xfId="3" applyFont="1" applyFill="1" applyBorder="1"/>
    <xf numFmtId="0" fontId="14" fillId="0" borderId="59" xfId="3" applyFont="1" applyBorder="1"/>
    <xf numFmtId="0" fontId="14" fillId="11" borderId="31" xfId="3" applyFont="1" applyFill="1" applyBorder="1"/>
    <xf numFmtId="0" fontId="14" fillId="0" borderId="10" xfId="3" applyFont="1" applyBorder="1"/>
    <xf numFmtId="0" fontId="14" fillId="0" borderId="66" xfId="3" applyFont="1" applyBorder="1"/>
    <xf numFmtId="0" fontId="14" fillId="11" borderId="30" xfId="3" applyFont="1" applyFill="1" applyBorder="1"/>
    <xf numFmtId="0" fontId="14" fillId="0" borderId="60" xfId="3" applyFont="1" applyBorder="1"/>
    <xf numFmtId="0" fontId="14" fillId="0" borderId="12" xfId="3" applyFont="1" applyBorder="1"/>
    <xf numFmtId="0" fontId="14" fillId="0" borderId="18" xfId="3" applyFont="1" applyBorder="1"/>
    <xf numFmtId="0" fontId="14" fillId="2" borderId="12" xfId="3" applyFont="1" applyFill="1" applyBorder="1"/>
    <xf numFmtId="0" fontId="14" fillId="0" borderId="21" xfId="3" applyFont="1" applyBorder="1"/>
    <xf numFmtId="0" fontId="14" fillId="2" borderId="53" xfId="3" applyFont="1" applyFill="1" applyBorder="1"/>
    <xf numFmtId="0" fontId="32" fillId="0" borderId="1" xfId="3" applyFont="1" applyBorder="1"/>
    <xf numFmtId="0" fontId="14" fillId="5" borderId="3" xfId="3" applyFont="1" applyFill="1" applyBorder="1"/>
    <xf numFmtId="0" fontId="14" fillId="5" borderId="17" xfId="3" applyFont="1" applyFill="1" applyBorder="1"/>
    <xf numFmtId="0" fontId="14" fillId="5" borderId="1" xfId="3" applyFont="1" applyFill="1" applyBorder="1"/>
    <xf numFmtId="0" fontId="33" fillId="5" borderId="17" xfId="3" applyFont="1" applyFill="1" applyBorder="1"/>
    <xf numFmtId="0" fontId="34" fillId="0" borderId="0" xfId="3" applyFont="1"/>
    <xf numFmtId="0" fontId="32" fillId="0" borderId="0" xfId="3" applyFont="1"/>
    <xf numFmtId="0" fontId="33" fillId="0" borderId="0" xfId="3" applyFont="1"/>
    <xf numFmtId="0" fontId="16" fillId="6" borderId="8" xfId="0" applyFont="1" applyFill="1" applyBorder="1" applyAlignment="1">
      <alignment horizontal="left" vertical="center" indent="1"/>
    </xf>
    <xf numFmtId="49" fontId="16" fillId="0" borderId="16" xfId="0" applyNumberFormat="1" applyFont="1" applyBorder="1" applyAlignment="1">
      <alignment horizontal="left" vertical="center" indent="1"/>
    </xf>
    <xf numFmtId="0" fontId="16" fillId="6" borderId="37" xfId="0" applyFont="1" applyFill="1" applyBorder="1" applyAlignment="1">
      <alignment horizontal="left" vertical="center" indent="1"/>
    </xf>
    <xf numFmtId="0" fontId="16" fillId="6" borderId="41" xfId="0" applyFont="1" applyFill="1" applyBorder="1" applyAlignment="1">
      <alignment horizontal="left" vertical="center" indent="1"/>
    </xf>
    <xf numFmtId="49" fontId="16" fillId="0" borderId="43" xfId="0" applyNumberFormat="1" applyFont="1" applyBorder="1" applyAlignment="1">
      <alignment horizontal="left" vertical="center" indent="1"/>
    </xf>
    <xf numFmtId="49" fontId="16" fillId="6" borderId="11" xfId="0" applyNumberFormat="1" applyFont="1" applyFill="1" applyBorder="1" applyAlignment="1">
      <alignment horizontal="left" vertical="center" indent="1"/>
    </xf>
    <xf numFmtId="49" fontId="16" fillId="0" borderId="18" xfId="0" applyNumberFormat="1" applyFont="1" applyBorder="1" applyAlignment="1">
      <alignment horizontal="left" vertical="center" indent="1"/>
    </xf>
    <xf numFmtId="0" fontId="14" fillId="6" borderId="65" xfId="3" applyFont="1" applyFill="1" applyBorder="1" applyAlignment="1">
      <alignment horizontal="left" indent="1"/>
    </xf>
    <xf numFmtId="0" fontId="14" fillId="0" borderId="16" xfId="3" applyFont="1" applyBorder="1" applyAlignment="1">
      <alignment horizontal="left" indent="1"/>
    </xf>
    <xf numFmtId="0" fontId="14" fillId="6" borderId="67" xfId="3" applyFont="1" applyFill="1" applyBorder="1" applyAlignment="1">
      <alignment horizontal="left" indent="1"/>
    </xf>
    <xf numFmtId="0" fontId="14" fillId="6" borderId="5" xfId="3" applyFont="1" applyFill="1" applyBorder="1" applyAlignment="1">
      <alignment horizontal="left" indent="1"/>
    </xf>
    <xf numFmtId="0" fontId="14" fillId="6" borderId="61" xfId="3" applyFont="1" applyFill="1" applyBorder="1" applyAlignment="1">
      <alignment horizontal="left" indent="1"/>
    </xf>
    <xf numFmtId="49" fontId="36" fillId="6" borderId="8" xfId="0" applyNumberFormat="1" applyFont="1" applyFill="1" applyBorder="1" applyAlignment="1">
      <alignment horizontal="left" vertical="center" indent="1"/>
    </xf>
    <xf numFmtId="49" fontId="36" fillId="0" borderId="16" xfId="0" applyNumberFormat="1" applyFont="1" applyBorder="1" applyAlignment="1">
      <alignment horizontal="left" vertical="center" indent="1"/>
    </xf>
    <xf numFmtId="49" fontId="36" fillId="6" borderId="10" xfId="0" applyNumberFormat="1" applyFont="1" applyFill="1" applyBorder="1" applyAlignment="1">
      <alignment horizontal="left" vertical="center" indent="1"/>
    </xf>
    <xf numFmtId="49" fontId="36" fillId="0" borderId="17" xfId="0" applyNumberFormat="1" applyFont="1" applyBorder="1" applyAlignment="1">
      <alignment horizontal="left" vertical="center" indent="1"/>
    </xf>
    <xf numFmtId="49" fontId="36" fillId="6" borderId="37" xfId="0" applyNumberFormat="1" applyFont="1" applyFill="1" applyBorder="1" applyAlignment="1">
      <alignment horizontal="left" vertical="center" indent="1"/>
    </xf>
    <xf numFmtId="49" fontId="36" fillId="0" borderId="39" xfId="0" applyNumberFormat="1" applyFont="1" applyBorder="1" applyAlignment="1">
      <alignment horizontal="left" vertical="center" indent="1"/>
    </xf>
    <xf numFmtId="0" fontId="16" fillId="0" borderId="8" xfId="3" applyFont="1" applyBorder="1" applyAlignment="1">
      <alignment horizontal="left" indent="1"/>
    </xf>
    <xf numFmtId="0" fontId="16" fillId="0" borderId="10" xfId="3" applyFont="1" applyBorder="1" applyAlignment="1">
      <alignment horizontal="left" indent="1"/>
    </xf>
    <xf numFmtId="0" fontId="16" fillId="0" borderId="11" xfId="3" applyFont="1" applyBorder="1" applyAlignment="1">
      <alignment horizontal="left" indent="1"/>
    </xf>
    <xf numFmtId="0" fontId="16" fillId="4" borderId="68" xfId="3" applyFont="1" applyFill="1" applyBorder="1"/>
    <xf numFmtId="0" fontId="16" fillId="0" borderId="6" xfId="3" applyFont="1" applyBorder="1"/>
    <xf numFmtId="0" fontId="14" fillId="0" borderId="13" xfId="3" applyFont="1" applyBorder="1"/>
    <xf numFmtId="0" fontId="14" fillId="0" borderId="11" xfId="3" applyFont="1" applyBorder="1"/>
    <xf numFmtId="0" fontId="18" fillId="0" borderId="0" xfId="3" applyFont="1" applyAlignment="1">
      <alignment horizontal="center"/>
    </xf>
    <xf numFmtId="0" fontId="16" fillId="5" borderId="29" xfId="3" applyFont="1" applyFill="1" applyBorder="1"/>
    <xf numFmtId="0" fontId="14" fillId="0" borderId="57" xfId="3" applyFont="1" applyBorder="1" applyAlignment="1">
      <alignment horizontal="left"/>
    </xf>
    <xf numFmtId="0" fontId="16" fillId="7" borderId="31" xfId="3" applyFont="1" applyFill="1" applyBorder="1"/>
    <xf numFmtId="0" fontId="14" fillId="0" borderId="58" xfId="3" applyFont="1" applyBorder="1" applyAlignment="1">
      <alignment horizontal="left"/>
    </xf>
    <xf numFmtId="0" fontId="16" fillId="8" borderId="31" xfId="3" applyFont="1" applyFill="1" applyBorder="1"/>
    <xf numFmtId="0" fontId="16" fillId="9" borderId="31" xfId="3" applyFont="1" applyFill="1" applyBorder="1"/>
    <xf numFmtId="0" fontId="33" fillId="0" borderId="58" xfId="3" applyFont="1" applyBorder="1" applyAlignment="1">
      <alignment horizontal="left"/>
    </xf>
    <xf numFmtId="0" fontId="16" fillId="10" borderId="52" xfId="3" applyFont="1" applyFill="1" applyBorder="1"/>
    <xf numFmtId="0" fontId="14" fillId="0" borderId="69" xfId="3" applyFont="1" applyBorder="1" applyAlignment="1">
      <alignment horizontal="left"/>
    </xf>
    <xf numFmtId="0" fontId="16" fillId="0" borderId="9" xfId="3" applyFont="1" applyBorder="1" applyAlignment="1">
      <alignment horizontal="left" indent="1"/>
    </xf>
    <xf numFmtId="0" fontId="16" fillId="0" borderId="12" xfId="3" applyFont="1" applyBorder="1" applyAlignment="1">
      <alignment horizontal="left" indent="1"/>
    </xf>
    <xf numFmtId="0" fontId="16" fillId="0" borderId="22" xfId="3" applyFont="1" applyBorder="1"/>
    <xf numFmtId="0" fontId="23" fillId="0" borderId="0" xfId="3" applyFont="1" applyAlignment="1">
      <alignment horizontal="center" vertical="center"/>
    </xf>
    <xf numFmtId="0" fontId="22" fillId="0" borderId="0" xfId="3" applyFont="1" applyAlignment="1">
      <alignment horizontal="center" vertical="center"/>
    </xf>
    <xf numFmtId="0" fontId="22" fillId="0" borderId="70" xfId="3" applyFont="1" applyBorder="1" applyAlignment="1">
      <alignment horizontal="center" vertical="center"/>
    </xf>
    <xf numFmtId="0" fontId="23" fillId="0" borderId="54" xfId="3" applyFont="1" applyBorder="1" applyAlignment="1">
      <alignment horizontal="center" vertical="center"/>
    </xf>
    <xf numFmtId="166" fontId="22" fillId="0" borderId="55" xfId="0" applyNumberFormat="1" applyFont="1" applyBorder="1" applyAlignment="1">
      <alignment horizontal="center" vertical="center"/>
    </xf>
    <xf numFmtId="166" fontId="22" fillId="0" borderId="71" xfId="0" applyNumberFormat="1" applyFont="1" applyBorder="1" applyAlignment="1">
      <alignment horizontal="center" vertical="center"/>
    </xf>
    <xf numFmtId="0" fontId="22" fillId="0" borderId="62" xfId="3" applyFont="1" applyBorder="1" applyAlignment="1">
      <alignment horizontal="center" vertical="center"/>
    </xf>
    <xf numFmtId="0" fontId="16" fillId="19" borderId="72" xfId="3" applyFont="1" applyFill="1" applyBorder="1" applyAlignment="1">
      <alignment horizontal="center" vertical="center"/>
    </xf>
    <xf numFmtId="0" fontId="16" fillId="19" borderId="42" xfId="3" applyFont="1" applyFill="1" applyBorder="1" applyAlignment="1">
      <alignment horizontal="left"/>
    </xf>
    <xf numFmtId="0" fontId="16" fillId="19" borderId="50" xfId="3" applyFont="1" applyFill="1" applyBorder="1" applyAlignment="1">
      <alignment horizontal="left"/>
    </xf>
    <xf numFmtId="166" fontId="14" fillId="11" borderId="43" xfId="0" applyNumberFormat="1" applyFont="1" applyFill="1" applyBorder="1">
      <alignment vertical="center"/>
    </xf>
    <xf numFmtId="0" fontId="16" fillId="19" borderId="36" xfId="3" applyFont="1" applyFill="1" applyBorder="1" applyAlignment="1">
      <alignment horizontal="center" vertical="center"/>
    </xf>
    <xf numFmtId="166" fontId="16" fillId="19" borderId="38" xfId="0" applyNumberFormat="1" applyFont="1" applyFill="1" applyBorder="1" applyAlignment="1">
      <alignment horizontal="left" vertical="center"/>
    </xf>
    <xf numFmtId="166" fontId="16" fillId="19" borderId="48" xfId="0" applyNumberFormat="1" applyFont="1" applyFill="1" applyBorder="1" applyAlignment="1">
      <alignment horizontal="left" vertical="center"/>
    </xf>
    <xf numFmtId="166" fontId="14" fillId="11" borderId="39" xfId="0" applyNumberFormat="1" applyFont="1" applyFill="1" applyBorder="1">
      <alignment vertical="center"/>
    </xf>
    <xf numFmtId="0" fontId="16" fillId="19" borderId="15" xfId="3" applyFont="1" applyFill="1" applyBorder="1" applyAlignment="1">
      <alignment horizontal="center" vertical="center"/>
    </xf>
    <xf numFmtId="0" fontId="16" fillId="19" borderId="45" xfId="3" applyFont="1" applyFill="1" applyBorder="1" applyAlignment="1">
      <alignment horizontal="center" vertical="center"/>
    </xf>
    <xf numFmtId="166" fontId="16" fillId="19" borderId="75" xfId="0" applyNumberFormat="1" applyFont="1" applyFill="1" applyBorder="1" applyAlignment="1">
      <alignment horizontal="left" vertical="center"/>
    </xf>
    <xf numFmtId="166" fontId="16" fillId="19" borderId="76" xfId="0" applyNumberFormat="1" applyFont="1" applyFill="1" applyBorder="1" applyAlignment="1">
      <alignment horizontal="left" vertical="center"/>
    </xf>
    <xf numFmtId="166" fontId="14" fillId="11" borderId="77" xfId="0" applyNumberFormat="1" applyFont="1" applyFill="1" applyBorder="1">
      <alignment vertical="center"/>
    </xf>
    <xf numFmtId="0" fontId="16" fillId="14" borderId="78" xfId="3" applyFont="1" applyFill="1" applyBorder="1" applyAlignment="1">
      <alignment horizontal="left" vertical="center"/>
    </xf>
    <xf numFmtId="166" fontId="16" fillId="15" borderId="42" xfId="3" applyNumberFormat="1" applyFont="1" applyFill="1" applyBorder="1" applyAlignment="1">
      <alignment horizontal="left"/>
    </xf>
    <xf numFmtId="0" fontId="16" fillId="14" borderId="31" xfId="3" applyFont="1" applyFill="1" applyBorder="1" applyAlignment="1">
      <alignment horizontal="left" vertical="center"/>
    </xf>
    <xf numFmtId="166" fontId="16" fillId="15" borderId="3" xfId="3" applyNumberFormat="1" applyFont="1" applyFill="1" applyBorder="1" applyAlignment="1">
      <alignment horizontal="left"/>
    </xf>
    <xf numFmtId="166" fontId="16" fillId="19" borderId="51" xfId="0" applyNumberFormat="1" applyFont="1" applyFill="1" applyBorder="1" applyAlignment="1">
      <alignment horizontal="left" vertical="center"/>
    </xf>
    <xf numFmtId="166" fontId="14" fillId="11" borderId="17" xfId="0" applyNumberFormat="1" applyFont="1" applyFill="1" applyBorder="1">
      <alignment vertical="center"/>
    </xf>
    <xf numFmtId="166" fontId="16" fillId="14" borderId="13" xfId="0" applyNumberFormat="1" applyFont="1" applyFill="1" applyBorder="1" applyAlignment="1">
      <alignment horizontal="left" vertical="center"/>
    </xf>
    <xf numFmtId="0" fontId="16" fillId="19" borderId="46" xfId="3" applyFont="1" applyFill="1" applyBorder="1"/>
    <xf numFmtId="0" fontId="14" fillId="11" borderId="21" xfId="3" applyFont="1" applyFill="1" applyBorder="1"/>
    <xf numFmtId="166" fontId="16" fillId="14" borderId="10" xfId="0" applyNumberFormat="1" applyFont="1" applyFill="1" applyBorder="1" applyAlignment="1">
      <alignment horizontal="left" vertical="center"/>
    </xf>
    <xf numFmtId="0" fontId="16" fillId="19" borderId="51" xfId="3" applyFont="1" applyFill="1" applyBorder="1"/>
    <xf numFmtId="0" fontId="14" fillId="11" borderId="17" xfId="3" applyFont="1" applyFill="1" applyBorder="1"/>
    <xf numFmtId="166" fontId="38" fillId="21" borderId="10" xfId="0" applyNumberFormat="1" applyFont="1" applyFill="1" applyBorder="1">
      <alignment vertical="center"/>
    </xf>
    <xf numFmtId="166" fontId="38" fillId="21" borderId="3" xfId="3" applyNumberFormat="1" applyFont="1" applyFill="1" applyBorder="1" applyAlignment="1">
      <alignment horizontal="left"/>
    </xf>
    <xf numFmtId="166" fontId="38" fillId="21" borderId="51" xfId="0" applyNumberFormat="1" applyFont="1" applyFill="1" applyBorder="1">
      <alignment vertical="center"/>
    </xf>
    <xf numFmtId="0" fontId="39" fillId="21" borderId="17" xfId="3" applyFont="1" applyFill="1" applyBorder="1"/>
    <xf numFmtId="0" fontId="38" fillId="21" borderId="51" xfId="3" applyFont="1" applyFill="1" applyBorder="1"/>
    <xf numFmtId="49" fontId="39" fillId="21" borderId="17" xfId="0" applyNumberFormat="1" applyFont="1" applyFill="1" applyBorder="1">
      <alignment vertical="center"/>
    </xf>
    <xf numFmtId="166" fontId="16" fillId="14" borderId="10" xfId="0" applyNumberFormat="1" applyFont="1" applyFill="1" applyBorder="1">
      <alignment vertical="center"/>
    </xf>
    <xf numFmtId="0" fontId="16" fillId="22" borderId="51" xfId="3" applyFont="1" applyFill="1" applyBorder="1"/>
    <xf numFmtId="0" fontId="14" fillId="11" borderId="17" xfId="3" applyFont="1" applyFill="1" applyBorder="1" applyAlignment="1">
      <alignment vertical="center"/>
    </xf>
    <xf numFmtId="0" fontId="38" fillId="21" borderId="10" xfId="3" applyFont="1" applyFill="1" applyBorder="1" applyAlignment="1">
      <alignment horizontal="left"/>
    </xf>
    <xf numFmtId="0" fontId="39" fillId="21" borderId="17" xfId="3" applyFont="1" applyFill="1" applyBorder="1" applyAlignment="1">
      <alignment vertical="center"/>
    </xf>
    <xf numFmtId="0" fontId="38" fillId="21" borderId="37" xfId="3" applyFont="1" applyFill="1" applyBorder="1" applyAlignment="1">
      <alignment horizontal="left"/>
    </xf>
    <xf numFmtId="166" fontId="38" fillId="21" borderId="38" xfId="3" applyNumberFormat="1" applyFont="1" applyFill="1" applyBorder="1" applyAlignment="1">
      <alignment horizontal="left"/>
    </xf>
    <xf numFmtId="0" fontId="38" fillId="21" borderId="48" xfId="3" applyFont="1" applyFill="1" applyBorder="1"/>
    <xf numFmtId="49" fontId="39" fillId="21" borderId="39" xfId="3" applyNumberFormat="1" applyFont="1" applyFill="1" applyBorder="1" applyAlignment="1">
      <alignment vertical="center"/>
    </xf>
    <xf numFmtId="166" fontId="38" fillId="21" borderId="79" xfId="0" applyNumberFormat="1" applyFont="1" applyFill="1" applyBorder="1">
      <alignment vertical="center"/>
    </xf>
    <xf numFmtId="0" fontId="39" fillId="21" borderId="17" xfId="0" applyFont="1" applyFill="1" applyBorder="1" applyAlignment="1"/>
    <xf numFmtId="0" fontId="14" fillId="11" borderId="17" xfId="0" applyFont="1" applyFill="1" applyBorder="1" applyAlignment="1"/>
    <xf numFmtId="0" fontId="39" fillId="21" borderId="39" xfId="0" applyFont="1" applyFill="1" applyBorder="1" applyAlignment="1"/>
    <xf numFmtId="49" fontId="36" fillId="0" borderId="0" xfId="0" applyNumberFormat="1" applyFont="1" applyAlignment="1">
      <alignment horizontal="left" vertical="center" wrapText="1" indent="1"/>
    </xf>
    <xf numFmtId="0" fontId="40" fillId="0" borderId="0" xfId="3" applyFont="1"/>
    <xf numFmtId="0" fontId="31" fillId="0" borderId="0" xfId="3" applyFont="1"/>
    <xf numFmtId="0" fontId="14" fillId="0" borderId="0" xfId="3" applyFont="1" applyAlignment="1">
      <alignment wrapText="1"/>
    </xf>
    <xf numFmtId="0" fontId="14" fillId="6" borderId="41" xfId="3" applyFont="1" applyFill="1" applyBorder="1" applyAlignment="1">
      <alignment horizontal="left" indent="1"/>
    </xf>
    <xf numFmtId="0" fontId="14" fillId="0" borderId="43" xfId="3" applyFont="1" applyBorder="1" applyAlignment="1">
      <alignment horizontal="left" indent="1"/>
    </xf>
    <xf numFmtId="0" fontId="14" fillId="6" borderId="10" xfId="3" applyFont="1" applyFill="1" applyBorder="1" applyAlignment="1">
      <alignment horizontal="left" indent="1"/>
    </xf>
    <xf numFmtId="0" fontId="14" fillId="0" borderId="17" xfId="3" applyFont="1" applyBorder="1" applyAlignment="1">
      <alignment horizontal="left" indent="1"/>
    </xf>
    <xf numFmtId="0" fontId="14" fillId="6" borderId="41" xfId="3" applyFont="1" applyFill="1" applyBorder="1" applyAlignment="1">
      <alignment horizontal="left" vertical="center" indent="1"/>
    </xf>
    <xf numFmtId="0" fontId="14" fillId="6" borderId="10" xfId="3" applyFont="1" applyFill="1" applyBorder="1" applyAlignment="1">
      <alignment horizontal="left" vertical="center" indent="1"/>
    </xf>
    <xf numFmtId="0" fontId="14" fillId="6" borderId="37" xfId="3" applyFont="1" applyFill="1" applyBorder="1" applyAlignment="1">
      <alignment horizontal="left" vertical="center" indent="1"/>
    </xf>
    <xf numFmtId="0" fontId="33" fillId="6" borderId="41" xfId="3" applyFont="1" applyFill="1" applyBorder="1" applyAlignment="1">
      <alignment horizontal="left" indent="1"/>
    </xf>
    <xf numFmtId="0" fontId="14" fillId="6" borderId="37" xfId="3" applyFont="1" applyFill="1" applyBorder="1" applyAlignment="1">
      <alignment horizontal="left" indent="1"/>
    </xf>
    <xf numFmtId="0" fontId="14" fillId="6" borderId="11" xfId="3" applyFont="1" applyFill="1" applyBorder="1" applyAlignment="1">
      <alignment horizontal="left" indent="1"/>
    </xf>
    <xf numFmtId="49" fontId="16" fillId="6" borderId="8" xfId="0" applyNumberFormat="1" applyFont="1" applyFill="1" applyBorder="1" applyAlignment="1">
      <alignment horizontal="left" vertical="center" indent="1"/>
    </xf>
    <xf numFmtId="49" fontId="16" fillId="0" borderId="16" xfId="0" applyNumberFormat="1" applyFont="1" applyBorder="1">
      <alignment vertical="center"/>
    </xf>
    <xf numFmtId="49" fontId="16" fillId="6" borderId="10" xfId="0" applyNumberFormat="1" applyFont="1" applyFill="1" applyBorder="1" applyAlignment="1">
      <alignment horizontal="left" vertical="center" indent="1"/>
    </xf>
    <xf numFmtId="49" fontId="16" fillId="0" borderId="17" xfId="0" applyNumberFormat="1" applyFont="1" applyBorder="1">
      <alignment vertical="center"/>
    </xf>
    <xf numFmtId="49" fontId="16" fillId="6" borderId="33" xfId="0" applyNumberFormat="1" applyFont="1" applyFill="1" applyBorder="1" applyAlignment="1">
      <alignment horizontal="left" vertical="center" indent="1"/>
    </xf>
    <xf numFmtId="166" fontId="16" fillId="0" borderId="17" xfId="0" applyNumberFormat="1" applyFont="1" applyBorder="1">
      <alignment vertical="center"/>
    </xf>
    <xf numFmtId="49" fontId="16" fillId="0" borderId="39" xfId="0" applyNumberFormat="1" applyFont="1" applyBorder="1">
      <alignment vertical="center"/>
    </xf>
    <xf numFmtId="49" fontId="16" fillId="0" borderId="43" xfId="0" applyNumberFormat="1" applyFont="1" applyBorder="1">
      <alignment vertical="center"/>
    </xf>
    <xf numFmtId="166" fontId="16" fillId="6" borderId="37" xfId="0" applyNumberFormat="1" applyFont="1" applyFill="1" applyBorder="1" applyAlignment="1">
      <alignment horizontal="left" vertical="center" indent="1"/>
    </xf>
    <xf numFmtId="166" fontId="16" fillId="0" borderId="39" xfId="0" applyNumberFormat="1" applyFont="1" applyBorder="1">
      <alignment vertical="center"/>
    </xf>
    <xf numFmtId="0" fontId="16" fillId="6" borderId="10" xfId="0" applyFont="1" applyFill="1" applyBorder="1" applyAlignment="1">
      <alignment horizontal="left" vertical="center" wrapText="1" indent="1"/>
    </xf>
    <xf numFmtId="0" fontId="16" fillId="8" borderId="37" xfId="3" applyFont="1" applyFill="1" applyBorder="1" applyAlignment="1">
      <alignment horizontal="left" indent="1"/>
    </xf>
    <xf numFmtId="0" fontId="16" fillId="0" borderId="38" xfId="3" applyFont="1" applyBorder="1" applyAlignment="1">
      <alignment horizontal="left" indent="1"/>
    </xf>
    <xf numFmtId="49" fontId="16" fillId="9" borderId="80" xfId="0" applyNumberFormat="1" applyFont="1" applyFill="1" applyBorder="1" applyAlignment="1">
      <alignment horizontal="left" vertical="center" indent="1"/>
    </xf>
    <xf numFmtId="0" fontId="16" fillId="11" borderId="81" xfId="3" applyFont="1" applyFill="1" applyBorder="1" applyAlignment="1">
      <alignment horizontal="left" indent="1"/>
    </xf>
    <xf numFmtId="0" fontId="16" fillId="0" borderId="81" xfId="3" applyFont="1" applyBorder="1" applyAlignment="1">
      <alignment horizontal="left" indent="1"/>
    </xf>
    <xf numFmtId="49" fontId="14" fillId="10" borderId="82" xfId="0" applyNumberFormat="1" applyFont="1" applyFill="1" applyBorder="1" applyAlignment="1">
      <alignment horizontal="left" vertical="center" indent="1"/>
    </xf>
    <xf numFmtId="0" fontId="16" fillId="11" borderId="64" xfId="3" applyFont="1" applyFill="1" applyBorder="1" applyAlignment="1">
      <alignment horizontal="left" indent="1"/>
    </xf>
    <xf numFmtId="0" fontId="16" fillId="0" borderId="64" xfId="3" applyFont="1" applyBorder="1" applyAlignment="1">
      <alignment horizontal="left" indent="1"/>
    </xf>
    <xf numFmtId="0" fontId="16" fillId="11" borderId="83" xfId="3" applyFont="1" applyFill="1" applyBorder="1" applyAlignment="1">
      <alignment horizontal="left" indent="1"/>
    </xf>
    <xf numFmtId="0" fontId="16" fillId="11" borderId="84" xfId="3" applyFont="1" applyFill="1" applyBorder="1" applyAlignment="1">
      <alignment horizontal="left" indent="1"/>
    </xf>
    <xf numFmtId="166" fontId="16" fillId="6" borderId="38" xfId="0" applyNumberFormat="1" applyFont="1" applyFill="1" applyBorder="1" applyAlignment="1">
      <alignment horizontal="left" vertical="center" indent="1"/>
    </xf>
    <xf numFmtId="0" fontId="16" fillId="11" borderId="86" xfId="3" applyFont="1" applyFill="1" applyBorder="1" applyAlignment="1">
      <alignment horizontal="left" indent="1"/>
    </xf>
    <xf numFmtId="166" fontId="16" fillId="6" borderId="42" xfId="0" applyNumberFormat="1" applyFont="1" applyFill="1" applyBorder="1" applyAlignment="1">
      <alignment horizontal="left" vertical="center" indent="1"/>
    </xf>
    <xf numFmtId="0" fontId="16" fillId="11" borderId="87" xfId="3" applyFont="1" applyFill="1" applyBorder="1" applyAlignment="1">
      <alignment horizontal="left" indent="1"/>
    </xf>
    <xf numFmtId="166" fontId="16" fillId="6" borderId="1" xfId="0" applyNumberFormat="1" applyFont="1" applyFill="1" applyBorder="1" applyAlignment="1">
      <alignment horizontal="left" vertical="center" indent="1"/>
    </xf>
    <xf numFmtId="0" fontId="16" fillId="0" borderId="0" xfId="0" applyFont="1" applyAlignment="1">
      <alignment horizontal="left" vertical="center" wrapText="1" indent="1"/>
    </xf>
    <xf numFmtId="49" fontId="16" fillId="0" borderId="0" xfId="0" applyNumberFormat="1" applyFont="1">
      <alignment vertical="center"/>
    </xf>
    <xf numFmtId="0" fontId="30" fillId="0" borderId="39" xfId="3" applyFont="1" applyBorder="1" applyAlignment="1">
      <alignment horizontal="left" indent="1"/>
    </xf>
    <xf numFmtId="0" fontId="30" fillId="0" borderId="88" xfId="3" applyFont="1" applyBorder="1" applyAlignment="1">
      <alignment horizontal="left" indent="1"/>
    </xf>
    <xf numFmtId="0" fontId="30" fillId="0" borderId="66" xfId="3" applyFont="1" applyBorder="1" applyAlignment="1">
      <alignment horizontal="left" indent="1"/>
    </xf>
    <xf numFmtId="166" fontId="38" fillId="21" borderId="89" xfId="3" applyNumberFormat="1" applyFont="1" applyFill="1" applyBorder="1" applyAlignment="1">
      <alignment horizontal="left"/>
    </xf>
    <xf numFmtId="0" fontId="16" fillId="14" borderId="90" xfId="3" applyFont="1" applyFill="1" applyBorder="1" applyAlignment="1">
      <alignment horizontal="left" vertical="center"/>
    </xf>
    <xf numFmtId="0" fontId="16" fillId="19" borderId="46" xfId="3" applyFont="1" applyFill="1" applyBorder="1" applyAlignment="1">
      <alignment horizontal="left"/>
    </xf>
    <xf numFmtId="166" fontId="14" fillId="11" borderId="21" xfId="0" applyNumberFormat="1" applyFont="1" applyFill="1" applyBorder="1">
      <alignment vertical="center"/>
    </xf>
    <xf numFmtId="0" fontId="38" fillId="21" borderId="11" xfId="3" applyFont="1" applyFill="1" applyBorder="1" applyAlignment="1">
      <alignment horizontal="left"/>
    </xf>
    <xf numFmtId="166" fontId="38" fillId="21" borderId="64" xfId="3" applyNumberFormat="1" applyFont="1" applyFill="1" applyBorder="1" applyAlignment="1">
      <alignment horizontal="left"/>
    </xf>
    <xf numFmtId="0" fontId="38" fillId="21" borderId="53" xfId="3" applyFont="1" applyFill="1" applyBorder="1"/>
    <xf numFmtId="0" fontId="39" fillId="21" borderId="18" xfId="0" applyFont="1" applyFill="1" applyBorder="1" applyAlignment="1"/>
    <xf numFmtId="0" fontId="22" fillId="0" borderId="0" xfId="3" applyFont="1"/>
    <xf numFmtId="49" fontId="16" fillId="0" borderId="21" xfId="0" applyNumberFormat="1" applyFont="1" applyBorder="1">
      <alignment vertical="center"/>
    </xf>
    <xf numFmtId="0" fontId="16" fillId="6" borderId="3" xfId="3" applyFont="1" applyFill="1" applyBorder="1" applyAlignment="1">
      <alignment horizontal="left" indent="1"/>
    </xf>
    <xf numFmtId="166" fontId="16" fillId="6" borderId="11" xfId="0" applyNumberFormat="1" applyFont="1" applyFill="1" applyBorder="1" applyAlignment="1">
      <alignment horizontal="left" vertical="center" indent="1"/>
    </xf>
    <xf numFmtId="166" fontId="16" fillId="0" borderId="18" xfId="0" applyNumberFormat="1" applyFont="1" applyBorder="1">
      <alignment vertical="center"/>
    </xf>
    <xf numFmtId="0" fontId="16" fillId="6" borderId="12" xfId="3" applyFont="1" applyFill="1" applyBorder="1" applyAlignment="1">
      <alignment horizontal="left" indent="1"/>
    </xf>
    <xf numFmtId="0" fontId="16" fillId="11" borderId="91" xfId="3" applyFont="1" applyFill="1" applyBorder="1" applyAlignment="1">
      <alignment horizontal="left" indent="1"/>
    </xf>
    <xf numFmtId="49" fontId="16" fillId="6" borderId="3" xfId="0" applyNumberFormat="1" applyFont="1" applyFill="1" applyBorder="1" applyAlignment="1">
      <alignment horizontal="left" vertical="center" wrapText="1" indent="1"/>
    </xf>
    <xf numFmtId="0" fontId="16" fillId="11" borderId="21" xfId="0" applyFont="1" applyFill="1" applyBorder="1" applyAlignment="1">
      <alignment horizontal="left" vertical="center" wrapText="1" indent="1"/>
    </xf>
    <xf numFmtId="49" fontId="16" fillId="6" borderId="65" xfId="0" applyNumberFormat="1" applyFont="1" applyFill="1" applyBorder="1" applyAlignment="1">
      <alignment horizontal="left" vertical="center" wrapText="1" indent="1"/>
    </xf>
    <xf numFmtId="0" fontId="14" fillId="11" borderId="9" xfId="3" applyFont="1" applyFill="1" applyBorder="1" applyAlignment="1">
      <alignment horizontal="left" indent="1"/>
    </xf>
    <xf numFmtId="49" fontId="3" fillId="11" borderId="16" xfId="0" applyNumberFormat="1" applyFont="1" applyFill="1" applyBorder="1" applyAlignment="1">
      <alignment horizontal="left" vertical="center" indent="1"/>
    </xf>
    <xf numFmtId="49" fontId="16" fillId="6" borderId="1" xfId="0" applyNumberFormat="1" applyFont="1" applyFill="1" applyBorder="1" applyAlignment="1">
      <alignment horizontal="left" vertical="center" wrapText="1" indent="1"/>
    </xf>
    <xf numFmtId="0" fontId="16" fillId="11" borderId="17" xfId="0" applyFont="1" applyFill="1" applyBorder="1" applyAlignment="1">
      <alignment horizontal="left" vertical="center" wrapText="1" indent="1"/>
    </xf>
    <xf numFmtId="49" fontId="16" fillId="6" borderId="59" xfId="0" applyNumberFormat="1" applyFont="1" applyFill="1" applyBorder="1" applyAlignment="1">
      <alignment horizontal="left" vertical="center" wrapText="1" indent="1"/>
    </xf>
    <xf numFmtId="0" fontId="14" fillId="11" borderId="1" xfId="3" applyFont="1" applyFill="1" applyBorder="1" applyAlignment="1">
      <alignment horizontal="left" indent="1"/>
    </xf>
    <xf numFmtId="49" fontId="3" fillId="11" borderId="17" xfId="0" applyNumberFormat="1" applyFont="1" applyFill="1" applyBorder="1" applyAlignment="1">
      <alignment horizontal="left" vertical="center" indent="1"/>
    </xf>
    <xf numFmtId="49" fontId="36" fillId="6" borderId="59" xfId="0" applyNumberFormat="1" applyFont="1" applyFill="1" applyBorder="1" applyAlignment="1">
      <alignment horizontal="left" vertical="center" wrapText="1" indent="1"/>
    </xf>
    <xf numFmtId="0" fontId="14" fillId="11" borderId="17" xfId="3" applyFont="1" applyFill="1" applyBorder="1" applyAlignment="1">
      <alignment horizontal="left" indent="1"/>
    </xf>
    <xf numFmtId="49" fontId="36" fillId="6" borderId="1" xfId="0" applyNumberFormat="1" applyFont="1" applyFill="1" applyBorder="1" applyAlignment="1">
      <alignment horizontal="left" vertical="center" wrapText="1" indent="1"/>
    </xf>
    <xf numFmtId="49" fontId="36" fillId="6" borderId="67" xfId="0" applyNumberFormat="1" applyFont="1" applyFill="1" applyBorder="1" applyAlignment="1">
      <alignment horizontal="left" vertical="center" wrapText="1" indent="1"/>
    </xf>
    <xf numFmtId="0" fontId="14" fillId="11" borderId="38" xfId="3" applyFont="1" applyFill="1" applyBorder="1" applyAlignment="1">
      <alignment horizontal="left" indent="1"/>
    </xf>
    <xf numFmtId="0" fontId="14" fillId="11" borderId="39" xfId="3" applyFont="1" applyFill="1" applyBorder="1" applyAlignment="1">
      <alignment horizontal="left" indent="1"/>
    </xf>
    <xf numFmtId="166" fontId="16" fillId="6" borderId="93" xfId="0" applyNumberFormat="1" applyFont="1" applyFill="1" applyBorder="1" applyAlignment="1">
      <alignment horizontal="left" vertical="center" indent="1"/>
    </xf>
    <xf numFmtId="0" fontId="17" fillId="11" borderId="50" xfId="3" applyFill="1" applyBorder="1" applyAlignment="1">
      <alignment horizontal="left" indent="1"/>
    </xf>
    <xf numFmtId="0" fontId="17" fillId="11" borderId="43" xfId="3" applyFill="1" applyBorder="1" applyAlignment="1">
      <alignment horizontal="left" indent="1"/>
    </xf>
    <xf numFmtId="166" fontId="16" fillId="6" borderId="59" xfId="0" applyNumberFormat="1" applyFont="1" applyFill="1" applyBorder="1" applyAlignment="1">
      <alignment horizontal="left" vertical="center" indent="1"/>
    </xf>
    <xf numFmtId="0" fontId="17" fillId="11" borderId="51" xfId="3" applyFill="1" applyBorder="1" applyAlignment="1">
      <alignment horizontal="left" indent="1"/>
    </xf>
    <xf numFmtId="0" fontId="17" fillId="11" borderId="17" xfId="3" applyFill="1" applyBorder="1" applyAlignment="1">
      <alignment horizontal="left" indent="1"/>
    </xf>
    <xf numFmtId="49" fontId="36" fillId="6" borderId="38" xfId="0" applyNumberFormat="1" applyFont="1" applyFill="1" applyBorder="1" applyAlignment="1">
      <alignment horizontal="left" vertical="center" wrapText="1" indent="1"/>
    </xf>
    <xf numFmtId="0" fontId="16" fillId="11" borderId="39" xfId="0" applyFont="1" applyFill="1" applyBorder="1" applyAlignment="1">
      <alignment horizontal="left" vertical="center" wrapText="1" indent="1"/>
    </xf>
    <xf numFmtId="166" fontId="16" fillId="11" borderId="43" xfId="0" applyNumberFormat="1" applyFont="1" applyFill="1" applyBorder="1" applyAlignment="1">
      <alignment horizontal="left" vertical="center" indent="1"/>
    </xf>
    <xf numFmtId="166" fontId="16" fillId="11" borderId="17" xfId="0" applyNumberFormat="1" applyFont="1" applyFill="1" applyBorder="1" applyAlignment="1">
      <alignment horizontal="left" vertical="center" indent="1"/>
    </xf>
    <xf numFmtId="166" fontId="16" fillId="6" borderId="67" xfId="0" applyNumberFormat="1" applyFont="1" applyFill="1" applyBorder="1" applyAlignment="1">
      <alignment horizontal="left" vertical="center" indent="1"/>
    </xf>
    <xf numFmtId="0" fontId="17" fillId="11" borderId="39" xfId="3" applyFill="1" applyBorder="1" applyAlignment="1">
      <alignment horizontal="left" indent="1"/>
    </xf>
    <xf numFmtId="0" fontId="16" fillId="6" borderId="93" xfId="3" applyFont="1" applyFill="1" applyBorder="1" applyAlignment="1">
      <alignment horizontal="left" indent="1"/>
    </xf>
    <xf numFmtId="0" fontId="14" fillId="11" borderId="42" xfId="3" applyFont="1" applyFill="1" applyBorder="1" applyAlignment="1">
      <alignment horizontal="left" indent="1"/>
    </xf>
    <xf numFmtId="0" fontId="16" fillId="6" borderId="59" xfId="3" applyFont="1" applyFill="1" applyBorder="1" applyAlignment="1">
      <alignment horizontal="left" indent="1"/>
    </xf>
    <xf numFmtId="166" fontId="16" fillId="11" borderId="39" xfId="0" applyNumberFormat="1" applyFont="1" applyFill="1" applyBorder="1" applyAlignment="1">
      <alignment horizontal="left" vertical="center" indent="1"/>
    </xf>
    <xf numFmtId="0" fontId="16" fillId="6" borderId="67" xfId="3" applyFont="1" applyFill="1" applyBorder="1" applyAlignment="1">
      <alignment horizontal="left" indent="1"/>
    </xf>
    <xf numFmtId="0" fontId="16" fillId="0" borderId="0" xfId="3" applyFont="1" applyAlignment="1">
      <alignment horizontal="left"/>
    </xf>
    <xf numFmtId="166" fontId="16" fillId="0" borderId="0" xfId="0" applyNumberFormat="1" applyFont="1" applyAlignment="1">
      <alignment horizontal="left" vertical="center"/>
    </xf>
    <xf numFmtId="166" fontId="16" fillId="0" borderId="0" xfId="3" applyNumberFormat="1" applyFont="1" applyAlignment="1">
      <alignment horizontal="left"/>
    </xf>
    <xf numFmtId="166" fontId="16" fillId="6" borderId="5" xfId="0" applyNumberFormat="1" applyFont="1" applyFill="1" applyBorder="1" applyAlignment="1">
      <alignment horizontal="left" vertical="center" indent="1"/>
    </xf>
    <xf numFmtId="0" fontId="17" fillId="11" borderId="46" xfId="3" applyFill="1" applyBorder="1" applyAlignment="1">
      <alignment horizontal="left" indent="1"/>
    </xf>
    <xf numFmtId="166" fontId="16" fillId="6" borderId="61" xfId="0" applyNumberFormat="1" applyFont="1" applyFill="1" applyBorder="1" applyAlignment="1">
      <alignment horizontal="left" vertical="center" indent="1"/>
    </xf>
    <xf numFmtId="0" fontId="17" fillId="11" borderId="53" xfId="3" applyFill="1" applyBorder="1" applyAlignment="1">
      <alignment horizontal="left" indent="1"/>
    </xf>
    <xf numFmtId="0" fontId="17" fillId="11" borderId="18" xfId="3" applyFill="1" applyBorder="1" applyAlignment="1">
      <alignment horizontal="left" indent="1"/>
    </xf>
    <xf numFmtId="49" fontId="42" fillId="5" borderId="9" xfId="0" applyNumberFormat="1" applyFont="1" applyFill="1" applyBorder="1" applyAlignment="1">
      <alignment horizontal="left" vertical="center" indent="1"/>
    </xf>
    <xf numFmtId="0" fontId="14" fillId="11" borderId="16" xfId="3" applyFont="1" applyFill="1" applyBorder="1" applyAlignment="1">
      <alignment horizontal="left" indent="1"/>
    </xf>
    <xf numFmtId="0" fontId="14" fillId="7" borderId="1" xfId="3" applyFont="1" applyFill="1" applyBorder="1" applyAlignment="1">
      <alignment horizontal="left" indent="1"/>
    </xf>
    <xf numFmtId="0" fontId="14" fillId="8" borderId="1" xfId="3" applyFont="1" applyFill="1" applyBorder="1" applyAlignment="1">
      <alignment horizontal="left" indent="1"/>
    </xf>
    <xf numFmtId="0" fontId="14" fillId="9" borderId="1" xfId="3" applyFont="1" applyFill="1" applyBorder="1" applyAlignment="1">
      <alignment horizontal="left" indent="1"/>
    </xf>
    <xf numFmtId="0" fontId="14" fillId="10" borderId="12" xfId="3" applyFont="1" applyFill="1" applyBorder="1" applyAlignment="1">
      <alignment horizontal="left" indent="1"/>
    </xf>
    <xf numFmtId="0" fontId="14" fillId="11" borderId="12" xfId="3" applyFont="1" applyFill="1" applyBorder="1" applyAlignment="1">
      <alignment horizontal="left" indent="1"/>
    </xf>
    <xf numFmtId="0" fontId="14" fillId="11" borderId="18" xfId="3" applyFont="1" applyFill="1" applyBorder="1" applyAlignment="1">
      <alignment horizontal="left" indent="1"/>
    </xf>
    <xf numFmtId="166" fontId="16" fillId="11" borderId="18" xfId="0" applyNumberFormat="1" applyFont="1" applyFill="1" applyBorder="1" applyAlignment="1">
      <alignment horizontal="left" vertical="center" indent="1"/>
    </xf>
    <xf numFmtId="49" fontId="42" fillId="6" borderId="8" xfId="0" applyNumberFormat="1" applyFont="1" applyFill="1" applyBorder="1" applyAlignment="1">
      <alignment horizontal="left" vertical="center" wrapText="1" indent="1"/>
    </xf>
    <xf numFmtId="49" fontId="42" fillId="11" borderId="16" xfId="0" applyNumberFormat="1" applyFont="1" applyFill="1" applyBorder="1" applyAlignment="1">
      <alignment horizontal="left" vertical="center" indent="1"/>
    </xf>
    <xf numFmtId="0" fontId="14" fillId="6" borderId="9" xfId="3" applyFont="1" applyFill="1" applyBorder="1"/>
    <xf numFmtId="0" fontId="14" fillId="11" borderId="16" xfId="3" applyFont="1" applyFill="1" applyBorder="1"/>
    <xf numFmtId="49" fontId="14" fillId="6" borderId="5" xfId="0" applyNumberFormat="1" applyFont="1" applyFill="1" applyBorder="1" applyAlignment="1">
      <alignment horizontal="left" vertical="center" wrapText="1" indent="1"/>
    </xf>
    <xf numFmtId="49" fontId="42" fillId="11" borderId="21" xfId="0" applyNumberFormat="1" applyFont="1" applyFill="1" applyBorder="1" applyAlignment="1">
      <alignment horizontal="left" vertical="center" indent="1"/>
    </xf>
    <xf numFmtId="0" fontId="14" fillId="6" borderId="38" xfId="3" applyFont="1" applyFill="1" applyBorder="1"/>
    <xf numFmtId="0" fontId="14" fillId="11" borderId="39" xfId="3" applyFont="1" applyFill="1" applyBorder="1"/>
    <xf numFmtId="49" fontId="42" fillId="6" borderId="59" xfId="0" applyNumberFormat="1" applyFont="1" applyFill="1" applyBorder="1" applyAlignment="1">
      <alignment horizontal="left" vertical="center" wrapText="1" indent="1"/>
    </xf>
    <xf numFmtId="49" fontId="42" fillId="11" borderId="17" xfId="0" applyNumberFormat="1" applyFont="1" applyFill="1" applyBorder="1" applyAlignment="1">
      <alignment horizontal="left" vertical="center" indent="1"/>
    </xf>
    <xf numFmtId="0" fontId="14" fillId="6" borderId="42" xfId="3" applyFont="1" applyFill="1" applyBorder="1"/>
    <xf numFmtId="0" fontId="14" fillId="11" borderId="43" xfId="3" applyFont="1" applyFill="1" applyBorder="1"/>
    <xf numFmtId="49" fontId="14" fillId="6" borderId="59" xfId="0" applyNumberFormat="1" applyFont="1" applyFill="1" applyBorder="1" applyAlignment="1">
      <alignment horizontal="left" vertical="center" wrapText="1" indent="1"/>
    </xf>
    <xf numFmtId="49" fontId="14" fillId="11" borderId="17" xfId="0" applyNumberFormat="1" applyFont="1" applyFill="1" applyBorder="1" applyAlignment="1">
      <alignment horizontal="left" vertical="center" indent="1"/>
    </xf>
    <xf numFmtId="0" fontId="14" fillId="6" borderId="93" xfId="3" applyFont="1" applyFill="1" applyBorder="1"/>
    <xf numFmtId="0" fontId="14" fillId="6" borderId="67" xfId="3" applyFont="1" applyFill="1" applyBorder="1"/>
    <xf numFmtId="0" fontId="14" fillId="6" borderId="0" xfId="3" applyFont="1" applyFill="1"/>
    <xf numFmtId="0" fontId="14" fillId="6" borderId="3" xfId="3" applyFont="1" applyFill="1" applyBorder="1"/>
    <xf numFmtId="0" fontId="14" fillId="6" borderId="12" xfId="3" applyFont="1" applyFill="1" applyBorder="1"/>
    <xf numFmtId="0" fontId="14" fillId="11" borderId="18" xfId="3" applyFont="1" applyFill="1" applyBorder="1"/>
    <xf numFmtId="49" fontId="42" fillId="6" borderId="67" xfId="0" applyNumberFormat="1" applyFont="1" applyFill="1" applyBorder="1" applyAlignment="1">
      <alignment horizontal="left" vertical="center" wrapText="1" indent="1"/>
    </xf>
    <xf numFmtId="49" fontId="42" fillId="11" borderId="39" xfId="0" applyNumberFormat="1" applyFont="1" applyFill="1" applyBorder="1" applyAlignment="1">
      <alignment horizontal="left" vertical="center" indent="1"/>
    </xf>
    <xf numFmtId="0" fontId="14" fillId="6" borderId="93" xfId="0" applyFont="1" applyFill="1" applyBorder="1" applyAlignment="1">
      <alignment horizontal="left" vertical="center" indent="1"/>
    </xf>
    <xf numFmtId="0" fontId="14" fillId="11" borderId="43" xfId="0" applyFont="1" applyFill="1" applyBorder="1" applyAlignment="1">
      <alignment horizontal="left" vertical="center" indent="1"/>
    </xf>
    <xf numFmtId="0" fontId="14" fillId="6" borderId="59" xfId="0" applyFont="1" applyFill="1" applyBorder="1" applyAlignment="1">
      <alignment horizontal="left" vertical="center" indent="1"/>
    </xf>
    <xf numFmtId="0" fontId="14" fillId="11" borderId="17" xfId="0" applyFont="1" applyFill="1" applyBorder="1" applyAlignment="1">
      <alignment horizontal="left" vertical="center" indent="1"/>
    </xf>
    <xf numFmtId="0" fontId="14" fillId="6" borderId="67" xfId="0" applyFont="1" applyFill="1" applyBorder="1" applyAlignment="1">
      <alignment horizontal="left" vertical="center" indent="1"/>
    </xf>
    <xf numFmtId="0" fontId="14" fillId="11" borderId="39" xfId="0" applyFont="1" applyFill="1" applyBorder="1" applyAlignment="1">
      <alignment horizontal="left" vertical="center" indent="1"/>
    </xf>
    <xf numFmtId="49" fontId="42" fillId="11" borderId="43" xfId="0" applyNumberFormat="1" applyFont="1" applyFill="1" applyBorder="1" applyAlignment="1">
      <alignment horizontal="left" vertical="center" indent="1"/>
    </xf>
    <xf numFmtId="0" fontId="14" fillId="6" borderId="5" xfId="3" applyFont="1" applyFill="1" applyBorder="1"/>
    <xf numFmtId="0" fontId="14" fillId="6" borderId="59" xfId="3" applyFont="1" applyFill="1" applyBorder="1"/>
    <xf numFmtId="49" fontId="14" fillId="11" borderId="39" xfId="0" applyNumberFormat="1" applyFont="1" applyFill="1" applyBorder="1" applyAlignment="1">
      <alignment horizontal="left" vertical="center" indent="1"/>
    </xf>
    <xf numFmtId="49" fontId="42" fillId="6" borderId="4" xfId="0" applyNumberFormat="1" applyFont="1" applyFill="1" applyBorder="1" applyAlignment="1">
      <alignment horizontal="left" vertical="center" indent="1"/>
    </xf>
    <xf numFmtId="49" fontId="42" fillId="6" borderId="79" xfId="0" applyNumberFormat="1" applyFont="1" applyFill="1" applyBorder="1" applyAlignment="1">
      <alignment horizontal="left" vertical="center" indent="1"/>
    </xf>
    <xf numFmtId="49" fontId="14" fillId="6" borderId="79" xfId="0" applyNumberFormat="1" applyFont="1" applyFill="1" applyBorder="1" applyAlignment="1">
      <alignment horizontal="left" vertical="center" indent="1"/>
    </xf>
    <xf numFmtId="49" fontId="14" fillId="6" borderId="95" xfId="0" applyNumberFormat="1" applyFont="1" applyFill="1" applyBorder="1" applyAlignment="1">
      <alignment horizontal="left" vertical="center" indent="1"/>
    </xf>
    <xf numFmtId="49" fontId="14" fillId="11" borderId="18" xfId="0" applyNumberFormat="1" applyFont="1" applyFill="1" applyBorder="1" applyAlignment="1">
      <alignment horizontal="left" vertical="center" indent="1"/>
    </xf>
    <xf numFmtId="49" fontId="36" fillId="6" borderId="65" xfId="0" applyNumberFormat="1" applyFont="1" applyFill="1" applyBorder="1" applyAlignment="1">
      <alignment horizontal="left" vertical="center" wrapText="1" indent="1"/>
    </xf>
    <xf numFmtId="49" fontId="36" fillId="11" borderId="16" xfId="0" applyNumberFormat="1" applyFont="1" applyFill="1" applyBorder="1" applyAlignment="1">
      <alignment horizontal="left" vertical="center" wrapText="1" indent="1"/>
    </xf>
    <xf numFmtId="49" fontId="36" fillId="11" borderId="17" xfId="0" applyNumberFormat="1" applyFont="1" applyFill="1" applyBorder="1" applyAlignment="1">
      <alignment horizontal="left" vertical="center" wrapText="1" indent="1"/>
    </xf>
    <xf numFmtId="49" fontId="14" fillId="11" borderId="17" xfId="0" applyNumberFormat="1" applyFont="1" applyFill="1" applyBorder="1" applyAlignment="1">
      <alignment horizontal="left" vertical="center" wrapText="1" indent="1"/>
    </xf>
    <xf numFmtId="49" fontId="16" fillId="6" borderId="67" xfId="0" applyNumberFormat="1" applyFont="1" applyFill="1" applyBorder="1" applyAlignment="1">
      <alignment horizontal="left" vertical="center" wrapText="1" indent="1"/>
    </xf>
    <xf numFmtId="49" fontId="14" fillId="11" borderId="39" xfId="0" applyNumberFormat="1" applyFont="1" applyFill="1" applyBorder="1" applyAlignment="1">
      <alignment horizontal="left" vertical="center" wrapText="1" indent="1"/>
    </xf>
    <xf numFmtId="49" fontId="14" fillId="6" borderId="93" xfId="0" applyNumberFormat="1" applyFont="1" applyFill="1" applyBorder="1" applyAlignment="1">
      <alignment horizontal="left" vertical="center" indent="1"/>
    </xf>
    <xf numFmtId="49" fontId="36" fillId="11" borderId="43" xfId="0" applyNumberFormat="1" applyFont="1" applyFill="1" applyBorder="1" applyAlignment="1">
      <alignment horizontal="left" vertical="center" indent="1"/>
    </xf>
    <xf numFmtId="49" fontId="14" fillId="6" borderId="59" xfId="0" applyNumberFormat="1" applyFont="1" applyFill="1" applyBorder="1" applyAlignment="1">
      <alignment horizontal="left" vertical="center" indent="1"/>
    </xf>
    <xf numFmtId="49" fontId="36" fillId="11" borderId="17" xfId="0" applyNumberFormat="1" applyFont="1" applyFill="1" applyBorder="1" applyAlignment="1">
      <alignment horizontal="left" vertical="center" indent="1"/>
    </xf>
    <xf numFmtId="0" fontId="14" fillId="6" borderId="59" xfId="3" applyFont="1" applyFill="1" applyBorder="1" applyAlignment="1">
      <alignment horizontal="left" indent="1"/>
    </xf>
    <xf numFmtId="0" fontId="14" fillId="6" borderId="96" xfId="3" applyFont="1" applyFill="1" applyBorder="1" applyAlignment="1">
      <alignment horizontal="left" indent="1"/>
    </xf>
    <xf numFmtId="0" fontId="14" fillId="11" borderId="35" xfId="3" applyFont="1" applyFill="1" applyBorder="1" applyAlignment="1">
      <alignment horizontal="left" indent="1"/>
    </xf>
    <xf numFmtId="0" fontId="14" fillId="6" borderId="59" xfId="3" applyFont="1" applyFill="1" applyBorder="1" applyAlignment="1">
      <alignment horizontal="left" vertical="center" indent="1"/>
    </xf>
    <xf numFmtId="0" fontId="14" fillId="11" borderId="17" xfId="3" applyFont="1" applyFill="1" applyBorder="1" applyAlignment="1">
      <alignment horizontal="left" vertical="center" indent="1"/>
    </xf>
    <xf numFmtId="0" fontId="14" fillId="6" borderId="97" xfId="3" applyFont="1" applyFill="1" applyBorder="1" applyAlignment="1">
      <alignment horizontal="left" vertical="center" indent="1"/>
    </xf>
    <xf numFmtId="0" fontId="14" fillId="11" borderId="98" xfId="3" applyFont="1" applyFill="1" applyBorder="1" applyAlignment="1">
      <alignment horizontal="left" vertical="center" indent="1"/>
    </xf>
    <xf numFmtId="0" fontId="14" fillId="6" borderId="93" xfId="3" applyFont="1" applyFill="1" applyBorder="1" applyAlignment="1">
      <alignment horizontal="left" indent="1"/>
    </xf>
    <xf numFmtId="49" fontId="36" fillId="11" borderId="87" xfId="0" applyNumberFormat="1" applyFont="1" applyFill="1" applyBorder="1" applyAlignment="1">
      <alignment horizontal="left" vertical="center" indent="1"/>
    </xf>
    <xf numFmtId="49" fontId="36" fillId="11" borderId="84" xfId="0" applyNumberFormat="1" applyFont="1" applyFill="1" applyBorder="1" applyAlignment="1">
      <alignment horizontal="left" vertical="center" indent="1"/>
    </xf>
    <xf numFmtId="0" fontId="14" fillId="6" borderId="59" xfId="3" applyFont="1" applyFill="1" applyBorder="1" applyAlignment="1">
      <alignment vertical="center"/>
    </xf>
    <xf numFmtId="49" fontId="14" fillId="11" borderId="84" xfId="0" applyNumberFormat="1" applyFont="1" applyFill="1" applyBorder="1" applyAlignment="1">
      <alignment horizontal="left" vertical="center" indent="1"/>
    </xf>
    <xf numFmtId="0" fontId="14" fillId="11" borderId="84" xfId="3" applyFont="1" applyFill="1" applyBorder="1" applyAlignment="1">
      <alignment horizontal="left" indent="1"/>
    </xf>
    <xf numFmtId="0" fontId="14" fillId="11" borderId="99" xfId="3" applyFont="1" applyFill="1" applyBorder="1" applyAlignment="1">
      <alignment horizontal="left" indent="1"/>
    </xf>
    <xf numFmtId="0" fontId="14" fillId="11" borderId="84" xfId="3" applyFont="1" applyFill="1" applyBorder="1" applyAlignment="1">
      <alignment horizontal="left" vertical="center" indent="1"/>
    </xf>
    <xf numFmtId="0" fontId="14" fillId="6" borderId="67" xfId="3" applyFont="1" applyFill="1" applyBorder="1" applyAlignment="1">
      <alignment vertical="center"/>
    </xf>
    <xf numFmtId="0" fontId="14" fillId="11" borderId="86" xfId="3" applyFont="1" applyFill="1" applyBorder="1" applyAlignment="1">
      <alignment horizontal="left" vertical="center" indent="1"/>
    </xf>
    <xf numFmtId="49" fontId="36" fillId="6" borderId="5" xfId="0" applyNumberFormat="1" applyFont="1" applyFill="1" applyBorder="1" applyAlignment="1">
      <alignment horizontal="left" vertical="center" indent="1"/>
    </xf>
    <xf numFmtId="49" fontId="36" fillId="11" borderId="100" xfId="0" applyNumberFormat="1" applyFont="1" applyFill="1" applyBorder="1" applyAlignment="1">
      <alignment horizontal="left" vertical="center" indent="1"/>
    </xf>
    <xf numFmtId="49" fontId="36" fillId="6" borderId="59" xfId="0" applyNumberFormat="1" applyFont="1" applyFill="1" applyBorder="1" applyAlignment="1">
      <alignment horizontal="left" vertical="center" indent="1"/>
    </xf>
    <xf numFmtId="0" fontId="14" fillId="6" borderId="61" xfId="3" applyFont="1" applyFill="1" applyBorder="1" applyAlignment="1">
      <alignment horizontal="left" vertical="center" indent="1"/>
    </xf>
    <xf numFmtId="0" fontId="14" fillId="11" borderId="91" xfId="3" applyFont="1" applyFill="1" applyBorder="1" applyAlignment="1">
      <alignment horizontal="left" vertical="center" indent="1"/>
    </xf>
    <xf numFmtId="0" fontId="0" fillId="6" borderId="101" xfId="0" applyFill="1" applyBorder="1" applyAlignment="1"/>
    <xf numFmtId="0" fontId="0" fillId="11" borderId="16" xfId="0" applyFill="1" applyBorder="1" applyAlignment="1"/>
    <xf numFmtId="0" fontId="0" fillId="6" borderId="46" xfId="0" applyFill="1" applyBorder="1" applyAlignment="1"/>
    <xf numFmtId="0" fontId="0" fillId="11" borderId="17" xfId="0" applyFill="1" applyBorder="1" applyAlignment="1"/>
    <xf numFmtId="0" fontId="0" fillId="6" borderId="48" xfId="0" applyFill="1" applyBorder="1" applyAlignment="1"/>
    <xf numFmtId="0" fontId="0" fillId="11" borderId="39" xfId="0" applyFill="1" applyBorder="1" applyAlignment="1"/>
    <xf numFmtId="0" fontId="46" fillId="6" borderId="46" xfId="0" applyFont="1" applyFill="1" applyBorder="1" applyAlignment="1"/>
    <xf numFmtId="0" fontId="0" fillId="11" borderId="21" xfId="0" applyFill="1" applyBorder="1" applyAlignment="1"/>
    <xf numFmtId="0" fontId="0" fillId="6" borderId="51" xfId="0" applyFill="1" applyBorder="1" applyAlignment="1"/>
    <xf numFmtId="0" fontId="0" fillId="6" borderId="50" xfId="0" applyFill="1" applyBorder="1" applyAlignment="1"/>
    <xf numFmtId="0" fontId="0" fillId="11" borderId="43" xfId="0" applyFill="1" applyBorder="1" applyAlignment="1"/>
    <xf numFmtId="0" fontId="47" fillId="6" borderId="51" xfId="0" applyFont="1" applyFill="1" applyBorder="1" applyAlignment="1"/>
    <xf numFmtId="0" fontId="48" fillId="6" borderId="51" xfId="0" applyFont="1" applyFill="1" applyBorder="1" applyAlignment="1"/>
    <xf numFmtId="0" fontId="0" fillId="6" borderId="12" xfId="0" applyFill="1" applyBorder="1" applyAlignment="1"/>
    <xf numFmtId="166" fontId="16" fillId="6" borderId="3" xfId="0" applyNumberFormat="1" applyFont="1" applyFill="1" applyBorder="1" applyAlignment="1">
      <alignment horizontal="left" vertical="center" indent="1"/>
    </xf>
    <xf numFmtId="0" fontId="16" fillId="11" borderId="100" xfId="3" applyFont="1" applyFill="1" applyBorder="1" applyAlignment="1">
      <alignment horizontal="left" indent="1"/>
    </xf>
    <xf numFmtId="166" fontId="3" fillId="0" borderId="0" xfId="0" applyNumberFormat="1" applyFont="1" applyAlignment="1"/>
    <xf numFmtId="166" fontId="3" fillId="0" borderId="0" xfId="0" applyNumberFormat="1" applyFont="1">
      <alignment vertical="center"/>
    </xf>
    <xf numFmtId="166" fontId="2" fillId="0" borderId="0" xfId="0" applyNumberFormat="1" applyFont="1" applyAlignment="1">
      <alignment vertical="top"/>
    </xf>
    <xf numFmtId="166" fontId="3" fillId="3" borderId="0" xfId="0" applyNumberFormat="1" applyFont="1" applyFill="1" applyAlignment="1">
      <alignment horizontal="center" vertical="center"/>
    </xf>
    <xf numFmtId="166" fontId="50" fillId="3" borderId="0" xfId="0" applyNumberFormat="1" applyFont="1" applyFill="1" applyAlignment="1"/>
    <xf numFmtId="166" fontId="4" fillId="3" borderId="0" xfId="0" applyNumberFormat="1" applyFont="1" applyFill="1">
      <alignment vertical="center"/>
    </xf>
    <xf numFmtId="166" fontId="2" fillId="3" borderId="0" xfId="0" applyNumberFormat="1" applyFont="1" applyFill="1">
      <alignment vertical="center"/>
    </xf>
    <xf numFmtId="166" fontId="3" fillId="3" borderId="0" xfId="0" applyNumberFormat="1" applyFont="1" applyFill="1">
      <alignment vertical="center"/>
    </xf>
    <xf numFmtId="166" fontId="4" fillId="3" borderId="0" xfId="0" applyNumberFormat="1" applyFont="1" applyFill="1" applyAlignment="1">
      <alignment horizontal="center" vertical="center"/>
    </xf>
    <xf numFmtId="166" fontId="4" fillId="3" borderId="0" xfId="0" applyNumberFormat="1" applyFont="1" applyFill="1" applyAlignment="1">
      <alignment horizontal="left" vertical="center"/>
    </xf>
    <xf numFmtId="166" fontId="7" fillId="0" borderId="0" xfId="3" applyNumberFormat="1" applyFont="1" applyAlignment="1">
      <alignment horizontal="left" vertical="center" wrapText="1"/>
    </xf>
    <xf numFmtId="166" fontId="2" fillId="0" borderId="0" xfId="3" applyNumberFormat="1" applyFont="1" applyAlignment="1">
      <alignment horizontal="left" vertical="center" wrapText="1"/>
    </xf>
    <xf numFmtId="166" fontId="2" fillId="0" borderId="0" xfId="3" applyNumberFormat="1" applyFont="1" applyAlignment="1">
      <alignment vertical="center" wrapText="1"/>
    </xf>
    <xf numFmtId="166" fontId="2" fillId="0" borderId="0" xfId="0" applyNumberFormat="1" applyFont="1" applyAlignment="1"/>
    <xf numFmtId="166" fontId="58" fillId="3" borderId="0" xfId="0" applyNumberFormat="1" applyFont="1" applyFill="1" applyAlignment="1">
      <alignment horizontal="center" vertical="center" wrapText="1"/>
    </xf>
    <xf numFmtId="166" fontId="58" fillId="3" borderId="0" xfId="0" applyNumberFormat="1" applyFont="1" applyFill="1" applyAlignment="1">
      <alignment horizontal="center" wrapText="1"/>
    </xf>
    <xf numFmtId="166" fontId="7" fillId="0" borderId="0" xfId="3" applyNumberFormat="1" applyFont="1" applyAlignment="1">
      <alignment vertical="center" wrapText="1"/>
    </xf>
    <xf numFmtId="0" fontId="5" fillId="3" borderId="0" xfId="0" applyFont="1" applyFill="1" applyAlignment="1">
      <alignment vertical="center" wrapText="1"/>
    </xf>
    <xf numFmtId="166" fontId="7" fillId="0" borderId="0" xfId="0" applyNumberFormat="1" applyFont="1">
      <alignment vertical="center"/>
    </xf>
    <xf numFmtId="166" fontId="2" fillId="0" borderId="0" xfId="0" applyNumberFormat="1" applyFont="1" applyAlignment="1">
      <alignment horizontal="left" vertical="center"/>
    </xf>
    <xf numFmtId="166" fontId="3" fillId="3" borderId="0" xfId="0" applyNumberFormat="1" applyFont="1" applyFill="1" applyAlignment="1">
      <alignment horizontal="left" vertical="center"/>
    </xf>
    <xf numFmtId="166" fontId="3" fillId="0" borderId="133" xfId="0" applyNumberFormat="1" applyFont="1" applyBorder="1" applyAlignment="1">
      <alignment horizontal="center" vertical="center"/>
    </xf>
    <xf numFmtId="166" fontId="3" fillId="0" borderId="124" xfId="0" applyNumberFormat="1" applyFont="1" applyBorder="1" applyAlignment="1">
      <alignment horizontal="center" vertical="center"/>
    </xf>
    <xf numFmtId="166" fontId="3" fillId="0" borderId="131" xfId="0" applyNumberFormat="1" applyFont="1" applyBorder="1" applyAlignment="1">
      <alignment horizontal="center" vertical="center"/>
    </xf>
    <xf numFmtId="1" fontId="3" fillId="0" borderId="133" xfId="0" applyNumberFormat="1" applyFont="1" applyBorder="1" applyAlignment="1">
      <alignment horizontal="center" vertical="center"/>
    </xf>
    <xf numFmtId="1" fontId="3" fillId="0" borderId="124" xfId="0" applyNumberFormat="1" applyFont="1" applyBorder="1" applyAlignment="1">
      <alignment horizontal="center" vertical="center"/>
    </xf>
    <xf numFmtId="0" fontId="3" fillId="0" borderId="124" xfId="0" applyFont="1" applyBorder="1" applyAlignment="1">
      <alignment horizontal="center" vertical="center"/>
    </xf>
    <xf numFmtId="0" fontId="3" fillId="0" borderId="131" xfId="0" applyFont="1" applyBorder="1" applyAlignment="1">
      <alignment horizontal="center" vertical="center"/>
    </xf>
    <xf numFmtId="166" fontId="5" fillId="3" borderId="0" xfId="0" applyNumberFormat="1" applyFont="1" applyFill="1">
      <alignment vertical="center"/>
    </xf>
    <xf numFmtId="166" fontId="50" fillId="3" borderId="0" xfId="0" applyNumberFormat="1" applyFont="1" applyFill="1">
      <alignment vertical="center"/>
    </xf>
    <xf numFmtId="166" fontId="60" fillId="0" borderId="0" xfId="0" applyNumberFormat="1" applyFont="1">
      <alignment vertical="center"/>
    </xf>
    <xf numFmtId="166" fontId="61" fillId="0" borderId="0" xfId="0" applyNumberFormat="1" applyFont="1" applyAlignment="1">
      <alignment horizontal="center" vertical="center"/>
    </xf>
    <xf numFmtId="166" fontId="4" fillId="3" borderId="120" xfId="0" applyNumberFormat="1" applyFont="1" applyFill="1" applyBorder="1" applyAlignment="1"/>
    <xf numFmtId="164" fontId="4" fillId="3" borderId="119" xfId="0" applyNumberFormat="1" applyFont="1" applyFill="1" applyBorder="1" applyAlignment="1">
      <alignment vertical="top" shrinkToFit="1"/>
    </xf>
    <xf numFmtId="166" fontId="50" fillId="0" borderId="0" xfId="0" applyNumberFormat="1" applyFont="1" applyAlignment="1">
      <alignment vertical="center" shrinkToFit="1"/>
    </xf>
    <xf numFmtId="166" fontId="3" fillId="0" borderId="0" xfId="0" applyNumberFormat="1" applyFont="1" applyAlignment="1">
      <alignment vertical="top"/>
    </xf>
    <xf numFmtId="166" fontId="58" fillId="3" borderId="0" xfId="0" applyNumberFormat="1" applyFont="1" applyFill="1" applyAlignment="1">
      <alignment horizontal="center" vertical="top" wrapText="1"/>
    </xf>
    <xf numFmtId="166" fontId="3" fillId="0" borderId="0" xfId="0" applyNumberFormat="1" applyFont="1" applyAlignment="1">
      <alignment horizontal="center" vertical="center" wrapText="1" shrinkToFit="1"/>
    </xf>
    <xf numFmtId="165" fontId="2" fillId="0" borderId="0" xfId="0" applyNumberFormat="1" applyFont="1">
      <alignment vertical="center"/>
    </xf>
    <xf numFmtId="166" fontId="3" fillId="3" borderId="0" xfId="0" applyNumberFormat="1" applyFont="1" applyFill="1" applyAlignment="1">
      <alignment horizontal="left" vertical="top"/>
    </xf>
    <xf numFmtId="166" fontId="5" fillId="0" borderId="0" xfId="0" applyNumberFormat="1" applyFont="1" applyAlignment="1">
      <alignment vertical="top" wrapText="1"/>
    </xf>
    <xf numFmtId="166" fontId="3" fillId="0" borderId="0" xfId="0" applyNumberFormat="1" applyFont="1" applyAlignment="1">
      <alignment vertical="center" wrapText="1"/>
    </xf>
    <xf numFmtId="166" fontId="4" fillId="0" borderId="0" xfId="0" applyNumberFormat="1" applyFont="1" applyAlignment="1">
      <alignment horizontal="left" vertical="center" shrinkToFit="1"/>
    </xf>
    <xf numFmtId="166" fontId="64" fillId="0" borderId="0" xfId="0" applyNumberFormat="1" applyFont="1">
      <alignment vertical="center"/>
    </xf>
    <xf numFmtId="166" fontId="64" fillId="0" borderId="0" xfId="0" applyNumberFormat="1" applyFont="1" applyAlignment="1">
      <alignment horizontal="center" vertical="center"/>
    </xf>
    <xf numFmtId="166" fontId="5" fillId="3" borderId="0" xfId="0" applyNumberFormat="1" applyFont="1" applyFill="1" applyAlignment="1">
      <alignment horizontal="left" vertical="top"/>
    </xf>
    <xf numFmtId="169" fontId="4" fillId="3" borderId="0" xfId="0" applyNumberFormat="1" applyFont="1" applyFill="1" applyAlignment="1">
      <alignment wrapText="1"/>
    </xf>
    <xf numFmtId="164" fontId="5" fillId="3" borderId="0" xfId="0" applyNumberFormat="1" applyFont="1" applyFill="1" applyAlignment="1">
      <alignment wrapText="1" shrinkToFit="1"/>
    </xf>
    <xf numFmtId="166" fontId="4" fillId="3" borderId="0" xfId="0" applyNumberFormat="1" applyFont="1" applyFill="1" applyAlignment="1">
      <alignment horizontal="right" vertical="center"/>
    </xf>
    <xf numFmtId="164" fontId="12" fillId="3" borderId="0" xfId="0" applyNumberFormat="1" applyFont="1" applyFill="1" applyAlignment="1">
      <alignment horizontal="left" wrapText="1" shrinkToFit="1"/>
    </xf>
    <xf numFmtId="166" fontId="66" fillId="3" borderId="0" xfId="0" applyNumberFormat="1" applyFont="1" applyFill="1" applyAlignment="1">
      <alignment horizontal="center" vertical="center"/>
    </xf>
    <xf numFmtId="166" fontId="12" fillId="3" borderId="0" xfId="0" applyNumberFormat="1" applyFont="1" applyFill="1">
      <alignment vertical="center"/>
    </xf>
    <xf numFmtId="164" fontId="4" fillId="3" borderId="0" xfId="0" applyNumberFormat="1" applyFont="1" applyFill="1" applyAlignment="1">
      <alignment horizontal="left" vertical="center"/>
    </xf>
    <xf numFmtId="166" fontId="61" fillId="0" borderId="0" xfId="0" applyNumberFormat="1" applyFont="1">
      <alignment vertical="center"/>
    </xf>
    <xf numFmtId="166" fontId="50" fillId="0" borderId="0" xfId="0" applyNumberFormat="1" applyFont="1">
      <alignment vertical="center"/>
    </xf>
    <xf numFmtId="166" fontId="50" fillId="0" borderId="0" xfId="0" applyNumberFormat="1" applyFont="1" applyAlignment="1">
      <alignment horizontal="center" vertical="center"/>
    </xf>
    <xf numFmtId="166" fontId="3" fillId="0" borderId="0" xfId="0" applyNumberFormat="1" applyFont="1" applyAlignment="1">
      <alignment horizontal="left" vertical="center"/>
    </xf>
    <xf numFmtId="0" fontId="3" fillId="0" borderId="0" xfId="0" applyFont="1">
      <alignment vertical="center"/>
    </xf>
    <xf numFmtId="164" fontId="68" fillId="3" borderId="0" xfId="0" applyNumberFormat="1" applyFont="1" applyFill="1" applyAlignment="1">
      <alignment horizontal="center" vertical="center" shrinkToFit="1"/>
    </xf>
    <xf numFmtId="164" fontId="5" fillId="3" borderId="0" xfId="0" applyNumberFormat="1" applyFont="1" applyFill="1" applyAlignment="1">
      <alignment vertical="center" shrinkToFit="1"/>
    </xf>
    <xf numFmtId="166" fontId="54" fillId="0" borderId="0" xfId="0" applyNumberFormat="1" applyFont="1">
      <alignment vertical="center"/>
    </xf>
    <xf numFmtId="49" fontId="69" fillId="0" borderId="0" xfId="0" applyNumberFormat="1" applyFont="1">
      <alignment vertical="center"/>
    </xf>
    <xf numFmtId="49" fontId="3" fillId="0" borderId="0" xfId="0" applyNumberFormat="1" applyFont="1">
      <alignment vertical="center"/>
    </xf>
    <xf numFmtId="49" fontId="3" fillId="0" borderId="0" xfId="0" applyNumberFormat="1" applyFont="1" applyAlignment="1"/>
    <xf numFmtId="49" fontId="5" fillId="0" borderId="0" xfId="0" applyNumberFormat="1" applyFont="1">
      <alignment vertical="center"/>
    </xf>
    <xf numFmtId="167" fontId="2" fillId="0" borderId="0" xfId="0" applyNumberFormat="1" applyFont="1">
      <alignment vertical="center"/>
    </xf>
    <xf numFmtId="49" fontId="2" fillId="0" borderId="0" xfId="0" applyNumberFormat="1" applyFont="1" applyAlignment="1">
      <alignment horizontal="center" vertical="center"/>
    </xf>
    <xf numFmtId="0" fontId="65" fillId="2" borderId="79" xfId="0" applyFont="1" applyFill="1" applyBorder="1" applyAlignment="1" applyProtection="1">
      <alignment horizontal="center"/>
      <protection locked="0"/>
    </xf>
    <xf numFmtId="49" fontId="2" fillId="0" borderId="146" xfId="0" applyNumberFormat="1" applyFont="1" applyBorder="1">
      <alignment vertical="center"/>
    </xf>
    <xf numFmtId="49" fontId="3" fillId="0" borderId="94" xfId="0" applyNumberFormat="1" applyFont="1" applyBorder="1" applyAlignment="1">
      <alignment horizontal="center" vertical="center"/>
    </xf>
    <xf numFmtId="49" fontId="3" fillId="0" borderId="33" xfId="0" applyNumberFormat="1" applyFont="1" applyBorder="1" applyAlignment="1">
      <alignment horizontal="center" vertical="center"/>
    </xf>
    <xf numFmtId="0" fontId="3" fillId="0" borderId="37" xfId="0" applyFont="1" applyBorder="1" applyAlignment="1">
      <alignment horizontal="center" vertical="center"/>
    </xf>
    <xf numFmtId="0" fontId="3" fillId="0" borderId="146" xfId="0" applyFont="1" applyBorder="1" applyAlignment="1">
      <alignment horizontal="center" vertical="center"/>
    </xf>
    <xf numFmtId="49" fontId="3" fillId="0" borderId="10" xfId="0" applyNumberFormat="1" applyFont="1" applyBorder="1" applyAlignment="1">
      <alignment horizontal="center" vertical="center"/>
    </xf>
    <xf numFmtId="0" fontId="3" fillId="0" borderId="82"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65" fillId="3" borderId="4" xfId="0" applyFont="1" applyFill="1" applyBorder="1" applyAlignment="1"/>
    <xf numFmtId="0" fontId="65" fillId="2" borderId="50" xfId="0" applyFont="1" applyFill="1" applyBorder="1" applyAlignment="1" applyProtection="1">
      <alignment horizontal="center"/>
      <protection locked="0"/>
    </xf>
    <xf numFmtId="0" fontId="65" fillId="2" borderId="4" xfId="0" applyFont="1" applyFill="1" applyBorder="1" applyAlignment="1" applyProtection="1">
      <alignment horizontal="center"/>
      <protection locked="0"/>
    </xf>
    <xf numFmtId="0" fontId="65" fillId="3" borderId="5" xfId="0" applyFont="1" applyFill="1" applyBorder="1" applyAlignment="1"/>
    <xf numFmtId="0" fontId="65" fillId="2" borderId="141" xfId="0" applyFont="1" applyFill="1" applyBorder="1" applyAlignment="1" applyProtection="1">
      <alignment horizontal="center"/>
      <protection locked="0"/>
    </xf>
    <xf numFmtId="49" fontId="71" fillId="5" borderId="0" xfId="0" applyNumberFormat="1" applyFont="1" applyFill="1" applyAlignment="1">
      <alignment vertical="center" wrapText="1"/>
    </xf>
    <xf numFmtId="49" fontId="50" fillId="0" borderId="0" xfId="0" applyNumberFormat="1" applyFont="1" applyAlignment="1">
      <alignment vertical="center" shrinkToFit="1"/>
    </xf>
    <xf numFmtId="0" fontId="58" fillId="3" borderId="0" xfId="0" applyFont="1" applyFill="1" applyAlignment="1">
      <alignment horizontal="center" vertical="center" wrapText="1"/>
    </xf>
    <xf numFmtId="49" fontId="5" fillId="5" borderId="70" xfId="0" applyNumberFormat="1" applyFont="1" applyFill="1" applyBorder="1" applyAlignment="1">
      <alignment horizontal="center" vertical="center" wrapText="1"/>
    </xf>
    <xf numFmtId="0" fontId="5" fillId="5" borderId="30" xfId="0" applyFont="1" applyFill="1" applyBorder="1" applyAlignment="1">
      <alignment horizontal="center" vertical="center" wrapText="1"/>
    </xf>
    <xf numFmtId="164" fontId="3" fillId="5" borderId="0" xfId="0" applyNumberFormat="1" applyFont="1" applyFill="1" applyAlignment="1">
      <alignment horizontal="center" vertical="center" wrapText="1"/>
    </xf>
    <xf numFmtId="164" fontId="71" fillId="5" borderId="0" xfId="0" applyNumberFormat="1" applyFont="1" applyFill="1" applyAlignment="1">
      <alignment vertical="center" wrapText="1"/>
    </xf>
    <xf numFmtId="0" fontId="2" fillId="0" borderId="0" xfId="0" applyFont="1" applyAlignment="1"/>
    <xf numFmtId="49" fontId="71" fillId="0" borderId="0" xfId="0" applyNumberFormat="1" applyFont="1">
      <alignment vertical="center"/>
    </xf>
    <xf numFmtId="49" fontId="71" fillId="0" borderId="0" xfId="0" applyNumberFormat="1" applyFont="1" applyAlignment="1">
      <alignment vertical="center" wrapText="1"/>
    </xf>
    <xf numFmtId="165" fontId="5" fillId="0" borderId="0" xfId="0" applyNumberFormat="1" applyFont="1" applyAlignment="1">
      <alignment vertical="center" shrinkToFit="1"/>
    </xf>
    <xf numFmtId="49" fontId="74" fillId="0" borderId="0" xfId="0" applyNumberFormat="1" applyFont="1">
      <alignment vertical="center"/>
    </xf>
    <xf numFmtId="165" fontId="4" fillId="0" borderId="0" xfId="0" applyNumberFormat="1" applyFont="1" applyAlignment="1">
      <alignment vertical="center" shrinkToFit="1"/>
    </xf>
    <xf numFmtId="49" fontId="61" fillId="0" borderId="0" xfId="0" applyNumberFormat="1" applyFont="1" applyAlignment="1">
      <alignment horizontal="center" vertical="center"/>
    </xf>
    <xf numFmtId="0" fontId="50" fillId="0" borderId="0" xfId="0" applyFont="1" applyAlignment="1">
      <alignment vertical="top" wrapText="1"/>
    </xf>
    <xf numFmtId="1" fontId="75" fillId="3" borderId="0" xfId="0" applyNumberFormat="1" applyFont="1" applyFill="1" applyAlignment="1">
      <alignment horizontal="center" vertical="center" wrapText="1"/>
    </xf>
    <xf numFmtId="0" fontId="3" fillId="0" borderId="0" xfId="0" applyFont="1" applyAlignment="1">
      <alignment vertical="top" wrapText="1"/>
    </xf>
    <xf numFmtId="49" fontId="3" fillId="0" borderId="0" xfId="0" applyNumberFormat="1" applyFont="1" applyAlignment="1">
      <alignment horizontal="center" vertical="center"/>
    </xf>
    <xf numFmtId="174" fontId="3" fillId="3" borderId="1" xfId="0" applyNumberFormat="1" applyFont="1" applyFill="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xf>
    <xf numFmtId="174" fontId="4" fillId="0" borderId="1" xfId="0" applyNumberFormat="1" applyFont="1" applyBorder="1" applyAlignment="1">
      <alignment horizontal="center"/>
    </xf>
    <xf numFmtId="1" fontId="2" fillId="0" borderId="0" xfId="0" applyNumberFormat="1" applyFont="1" applyAlignment="1"/>
    <xf numFmtId="167" fontId="2" fillId="0" borderId="0" xfId="0" applyNumberFormat="1" applyFont="1" applyAlignment="1"/>
    <xf numFmtId="14" fontId="2" fillId="0" borderId="0" xfId="0" applyNumberFormat="1" applyFont="1">
      <alignment vertical="center"/>
    </xf>
    <xf numFmtId="164" fontId="3" fillId="0" borderId="0" xfId="0" applyNumberFormat="1" applyFont="1">
      <alignment vertical="center"/>
    </xf>
    <xf numFmtId="0" fontId="58" fillId="3" borderId="0" xfId="0" applyFont="1" applyFill="1" applyAlignment="1">
      <alignment horizontal="center" wrapText="1"/>
    </xf>
    <xf numFmtId="0" fontId="76" fillId="3" borderId="0" xfId="0" applyFont="1" applyFill="1" applyAlignment="1">
      <alignment horizontal="center" vertical="center" wrapText="1"/>
    </xf>
    <xf numFmtId="14" fontId="5" fillId="0" borderId="0" xfId="0" applyNumberFormat="1" applyFont="1">
      <alignment vertical="center"/>
    </xf>
    <xf numFmtId="0" fontId="2" fillId="0" borderId="0" xfId="3" applyFont="1"/>
    <xf numFmtId="167" fontId="2" fillId="0" borderId="0" xfId="3" applyNumberFormat="1" applyFont="1"/>
    <xf numFmtId="0" fontId="6" fillId="0" borderId="158" xfId="3" applyFont="1" applyBorder="1" applyAlignment="1">
      <alignment horizontal="left" vertical="center" indent="1"/>
    </xf>
    <xf numFmtId="0" fontId="6" fillId="0" borderId="22" xfId="3" applyFont="1" applyBorder="1" applyAlignment="1">
      <alignment horizontal="left" vertical="center" indent="1"/>
    </xf>
    <xf numFmtId="0" fontId="78" fillId="5" borderId="5" xfId="3" applyFont="1" applyFill="1" applyBorder="1" applyAlignment="1">
      <alignment horizontal="left" vertical="center" indent="1"/>
    </xf>
    <xf numFmtId="0" fontId="2" fillId="0" borderId="21" xfId="0" applyFont="1" applyBorder="1" applyAlignment="1">
      <alignment horizontal="left" vertical="center" indent="1"/>
    </xf>
    <xf numFmtId="49" fontId="7" fillId="0" borderId="0" xfId="0" applyNumberFormat="1" applyFont="1" applyProtection="1">
      <alignment vertical="center"/>
      <protection locked="0"/>
    </xf>
    <xf numFmtId="0" fontId="55" fillId="2" borderId="46" xfId="0" applyFont="1" applyFill="1" applyBorder="1" applyAlignment="1" applyProtection="1">
      <alignment horizontal="center"/>
      <protection locked="0"/>
    </xf>
    <xf numFmtId="0" fontId="78" fillId="5" borderId="59" xfId="3" applyFont="1" applyFill="1" applyBorder="1" applyAlignment="1">
      <alignment horizontal="left" vertical="center" indent="1"/>
    </xf>
    <xf numFmtId="0" fontId="2" fillId="0" borderId="17" xfId="0" applyFont="1" applyBorder="1" applyAlignment="1">
      <alignment horizontal="left" vertical="center" indent="1"/>
    </xf>
    <xf numFmtId="49" fontId="50" fillId="0" borderId="0" xfId="0" applyNumberFormat="1" applyFont="1">
      <alignment vertical="center"/>
    </xf>
    <xf numFmtId="0" fontId="2" fillId="5" borderId="59" xfId="3" applyFont="1" applyFill="1" applyBorder="1" applyAlignment="1">
      <alignment horizontal="left" vertical="center" indent="1"/>
    </xf>
    <xf numFmtId="176" fontId="3" fillId="0" borderId="0" xfId="0" applyNumberFormat="1" applyFont="1">
      <alignment vertical="center"/>
    </xf>
    <xf numFmtId="49" fontId="2" fillId="3" borderId="0" xfId="0" applyNumberFormat="1" applyFont="1" applyFill="1">
      <alignment vertical="center"/>
    </xf>
    <xf numFmtId="49" fontId="50" fillId="0" borderId="0" xfId="0" applyNumberFormat="1" applyFont="1" applyAlignment="1"/>
    <xf numFmtId="49" fontId="3" fillId="3" borderId="0" xfId="0" applyNumberFormat="1" applyFont="1" applyFill="1" applyAlignment="1"/>
    <xf numFmtId="49" fontId="4" fillId="0" borderId="0" xfId="0" applyNumberFormat="1" applyFont="1">
      <alignment vertical="center"/>
    </xf>
    <xf numFmtId="49" fontId="3" fillId="3" borderId="0" xfId="0" applyNumberFormat="1" applyFont="1" applyFill="1">
      <alignment vertical="center"/>
    </xf>
    <xf numFmtId="49" fontId="4" fillId="3" borderId="0" xfId="0" applyNumberFormat="1" applyFont="1" applyFill="1" applyAlignment="1">
      <alignment horizontal="center" vertical="center"/>
    </xf>
    <xf numFmtId="167" fontId="2" fillId="3" borderId="0" xfId="0" applyNumberFormat="1" applyFont="1" applyFill="1" applyAlignment="1"/>
    <xf numFmtId="49" fontId="4" fillId="3" borderId="0" xfId="0" applyNumberFormat="1" applyFont="1" applyFill="1" applyAlignment="1">
      <alignment horizontal="left" vertical="center"/>
    </xf>
    <xf numFmtId="49" fontId="5" fillId="0" borderId="0" xfId="0" applyNumberFormat="1" applyFont="1" applyAlignment="1">
      <alignment horizontal="center" vertical="center"/>
    </xf>
    <xf numFmtId="166" fontId="4" fillId="0" borderId="0" xfId="0" applyNumberFormat="1" applyFont="1">
      <alignment vertical="center"/>
    </xf>
    <xf numFmtId="49" fontId="4" fillId="0" borderId="0" xfId="0" applyNumberFormat="1" applyFont="1" applyAlignment="1">
      <alignment horizontal="left" vertical="center" shrinkToFit="1"/>
    </xf>
    <xf numFmtId="0" fontId="60" fillId="0" borderId="0" xfId="0" applyFont="1">
      <alignment vertical="center"/>
    </xf>
    <xf numFmtId="0" fontId="91" fillId="8" borderId="10" xfId="3" applyFont="1" applyFill="1" applyBorder="1" applyAlignment="1">
      <alignment horizontal="left" indent="1"/>
    </xf>
    <xf numFmtId="0" fontId="91" fillId="11" borderId="1" xfId="3" applyFont="1" applyFill="1" applyBorder="1" applyAlignment="1">
      <alignment horizontal="left" indent="1"/>
    </xf>
    <xf numFmtId="0" fontId="91" fillId="6" borderId="10" xfId="0" applyFont="1" applyFill="1" applyBorder="1" applyAlignment="1">
      <alignment horizontal="left" vertical="center" wrapText="1" indent="1"/>
    </xf>
    <xf numFmtId="0" fontId="91" fillId="6" borderId="37" xfId="0" applyFont="1" applyFill="1" applyBorder="1" applyAlignment="1">
      <alignment horizontal="left" vertical="center" wrapText="1" indent="1"/>
    </xf>
    <xf numFmtId="49" fontId="91" fillId="0" borderId="39" xfId="0" applyNumberFormat="1" applyFont="1" applyBorder="1">
      <alignment vertical="center"/>
    </xf>
    <xf numFmtId="0" fontId="0" fillId="0" borderId="57" xfId="0" applyBorder="1">
      <alignment vertical="center"/>
    </xf>
    <xf numFmtId="0" fontId="0" fillId="0" borderId="58" xfId="0" applyBorder="1">
      <alignment vertical="center"/>
    </xf>
    <xf numFmtId="0" fontId="0" fillId="0" borderId="69" xfId="0" applyBorder="1">
      <alignment vertical="center"/>
    </xf>
    <xf numFmtId="0" fontId="91" fillId="6" borderId="33" xfId="3" applyFont="1" applyFill="1" applyBorder="1" applyAlignment="1">
      <alignment horizontal="left" indent="1"/>
    </xf>
    <xf numFmtId="0" fontId="91" fillId="0" borderId="21" xfId="3" applyFont="1" applyBorder="1" applyAlignment="1">
      <alignment horizontal="left" indent="1" shrinkToFit="1"/>
    </xf>
    <xf numFmtId="0" fontId="91" fillId="0" borderId="17" xfId="3" applyFont="1" applyBorder="1" applyAlignment="1">
      <alignment horizontal="left" indent="1" shrinkToFit="1"/>
    </xf>
    <xf numFmtId="0" fontId="91" fillId="0" borderId="35" xfId="3" applyFont="1" applyBorder="1" applyAlignment="1">
      <alignment horizontal="left" indent="1" shrinkToFit="1"/>
    </xf>
    <xf numFmtId="0" fontId="91" fillId="0" borderId="39" xfId="3" applyFont="1" applyBorder="1" applyAlignment="1">
      <alignment horizontal="left" indent="1" shrinkToFit="1"/>
    </xf>
    <xf numFmtId="0" fontId="91" fillId="6" borderId="10" xfId="3" applyFont="1" applyFill="1" applyBorder="1" applyAlignment="1">
      <alignment horizontal="left" indent="1"/>
    </xf>
    <xf numFmtId="0" fontId="91" fillId="6" borderId="41" xfId="3" applyFont="1" applyFill="1" applyBorder="1" applyAlignment="1">
      <alignment horizontal="left" indent="1"/>
    </xf>
    <xf numFmtId="0" fontId="91" fillId="6" borderId="37" xfId="3" applyFont="1" applyFill="1" applyBorder="1" applyAlignment="1">
      <alignment horizontal="left" indent="1"/>
    </xf>
    <xf numFmtId="0" fontId="91" fillId="11" borderId="103" xfId="3" applyFont="1" applyFill="1" applyBorder="1" applyAlignment="1">
      <alignment horizontal="left" indent="1"/>
    </xf>
    <xf numFmtId="0" fontId="93" fillId="0" borderId="103" xfId="3" applyFont="1" applyBorder="1"/>
    <xf numFmtId="0" fontId="91" fillId="0" borderId="0" xfId="3" applyFont="1"/>
    <xf numFmtId="0" fontId="91" fillId="0" borderId="1" xfId="3" applyFont="1" applyBorder="1" applyAlignment="1">
      <alignment horizontal="left" indent="1"/>
    </xf>
    <xf numFmtId="0" fontId="0" fillId="6" borderId="102" xfId="0" applyFill="1" applyBorder="1" applyAlignment="1"/>
    <xf numFmtId="0" fontId="47" fillId="11" borderId="17" xfId="0" applyFont="1" applyFill="1" applyBorder="1" applyAlignment="1"/>
    <xf numFmtId="0" fontId="0" fillId="11" borderId="98" xfId="0" applyFill="1" applyBorder="1" applyAlignment="1"/>
    <xf numFmtId="0" fontId="47" fillId="6" borderId="50" xfId="0" applyFont="1" applyFill="1" applyBorder="1" applyAlignment="1"/>
    <xf numFmtId="0" fontId="16" fillId="11" borderId="103" xfId="3" applyFont="1" applyFill="1" applyBorder="1" applyAlignment="1">
      <alignment horizontal="left" indent="1"/>
    </xf>
    <xf numFmtId="0" fontId="16" fillId="6" borderId="33" xfId="3" applyFont="1" applyFill="1" applyBorder="1" applyAlignment="1">
      <alignment horizontal="left" indent="1"/>
    </xf>
    <xf numFmtId="0" fontId="16" fillId="0" borderId="21" xfId="3" applyFont="1" applyBorder="1" applyAlignment="1">
      <alignment horizontal="left" indent="1" shrinkToFit="1"/>
    </xf>
    <xf numFmtId="49" fontId="5" fillId="2" borderId="139" xfId="0" applyNumberFormat="1" applyFont="1" applyFill="1" applyBorder="1" applyAlignment="1" applyProtection="1">
      <alignment horizontal="center" vertical="center" wrapText="1" shrinkToFit="1"/>
      <protection locked="0"/>
    </xf>
    <xf numFmtId="49" fontId="5" fillId="2" borderId="104" xfId="0" applyNumberFormat="1" applyFont="1" applyFill="1" applyBorder="1" applyAlignment="1" applyProtection="1">
      <alignment horizontal="center" vertical="center" wrapText="1" shrinkToFit="1"/>
      <protection locked="0"/>
    </xf>
    <xf numFmtId="49" fontId="5" fillId="2" borderId="96" xfId="0" applyNumberFormat="1" applyFont="1" applyFill="1" applyBorder="1" applyAlignment="1" applyProtection="1">
      <alignment horizontal="center" vertical="center" wrapText="1" shrinkToFit="1"/>
      <protection locked="0"/>
    </xf>
    <xf numFmtId="49" fontId="5" fillId="2" borderId="90" xfId="0" applyNumberFormat="1" applyFont="1" applyFill="1" applyBorder="1" applyAlignment="1" applyProtection="1">
      <alignment horizontal="center" vertical="center" wrapText="1" shrinkToFit="1"/>
      <protection locked="0"/>
    </xf>
    <xf numFmtId="49" fontId="5" fillId="2" borderId="4" xfId="0" applyNumberFormat="1" applyFont="1" applyFill="1" applyBorder="1" applyAlignment="1" applyProtection="1">
      <alignment horizontal="center" vertical="center" wrapText="1" shrinkToFit="1"/>
      <protection locked="0"/>
    </xf>
    <xf numFmtId="49" fontId="5" fillId="2" borderId="5" xfId="0" applyNumberFormat="1" applyFont="1" applyFill="1" applyBorder="1" applyAlignment="1" applyProtection="1">
      <alignment horizontal="center" vertical="center" wrapText="1" shrinkToFit="1"/>
      <protection locked="0"/>
    </xf>
    <xf numFmtId="49" fontId="5" fillId="2" borderId="103" xfId="0" applyNumberFormat="1" applyFont="1" applyFill="1" applyBorder="1" applyAlignment="1" applyProtection="1">
      <alignment horizontal="left" vertical="center" wrapText="1" indent="1" shrinkToFit="1"/>
      <protection locked="0"/>
    </xf>
    <xf numFmtId="49" fontId="5" fillId="2" borderId="104" xfId="0" applyNumberFormat="1" applyFont="1" applyFill="1" applyBorder="1" applyAlignment="1" applyProtection="1">
      <alignment horizontal="left" vertical="center" wrapText="1" indent="1" shrinkToFit="1"/>
      <protection locked="0"/>
    </xf>
    <xf numFmtId="49" fontId="5" fillId="2" borderId="96" xfId="0" applyNumberFormat="1" applyFont="1" applyFill="1" applyBorder="1" applyAlignment="1" applyProtection="1">
      <alignment horizontal="left" vertical="center" wrapText="1" indent="1" shrinkToFit="1"/>
      <protection locked="0"/>
    </xf>
    <xf numFmtId="49" fontId="5" fillId="2" borderId="46" xfId="0" applyNumberFormat="1" applyFont="1" applyFill="1" applyBorder="1" applyAlignment="1" applyProtection="1">
      <alignment horizontal="left" vertical="center" wrapText="1" indent="1" shrinkToFit="1"/>
      <protection locked="0"/>
    </xf>
    <xf numFmtId="49" fontId="5" fillId="2" borderId="4" xfId="0" applyNumberFormat="1" applyFont="1" applyFill="1" applyBorder="1" applyAlignment="1" applyProtection="1">
      <alignment horizontal="left" vertical="center" wrapText="1" indent="1" shrinkToFit="1"/>
      <protection locked="0"/>
    </xf>
    <xf numFmtId="49" fontId="5" fillId="2" borderId="5" xfId="0" applyNumberFormat="1" applyFont="1" applyFill="1" applyBorder="1" applyAlignment="1" applyProtection="1">
      <alignment horizontal="left" vertical="center" wrapText="1" indent="1" shrinkToFit="1"/>
      <protection locked="0"/>
    </xf>
    <xf numFmtId="167" fontId="2" fillId="2" borderId="103" xfId="0" applyNumberFormat="1" applyFont="1" applyFill="1" applyBorder="1" applyAlignment="1" applyProtection="1">
      <alignment horizontal="center" vertical="center"/>
      <protection locked="0"/>
    </xf>
    <xf numFmtId="167" fontId="2" fillId="2" borderId="104" xfId="0" applyNumberFormat="1" applyFont="1" applyFill="1" applyBorder="1" applyAlignment="1" applyProtection="1">
      <alignment horizontal="center" vertical="center"/>
      <protection locked="0"/>
    </xf>
    <xf numFmtId="167" fontId="2" fillId="2" borderId="96" xfId="0" applyNumberFormat="1" applyFont="1" applyFill="1" applyBorder="1" applyAlignment="1" applyProtection="1">
      <alignment horizontal="center" vertical="center"/>
      <protection locked="0"/>
    </xf>
    <xf numFmtId="167" fontId="2" fillId="2" borderId="46" xfId="0" applyNumberFormat="1" applyFont="1" applyFill="1" applyBorder="1" applyAlignment="1" applyProtection="1">
      <alignment horizontal="center" vertical="center"/>
      <protection locked="0"/>
    </xf>
    <xf numFmtId="167" fontId="2" fillId="2" borderId="4" xfId="0" applyNumberFormat="1" applyFont="1" applyFill="1" applyBorder="1" applyAlignment="1" applyProtection="1">
      <alignment horizontal="center" vertical="center"/>
      <protection locked="0"/>
    </xf>
    <xf numFmtId="167" fontId="2" fillId="2" borderId="5" xfId="0" applyNumberFormat="1" applyFont="1" applyFill="1" applyBorder="1" applyAlignment="1" applyProtection="1">
      <alignment horizontal="center" vertical="center"/>
      <protection locked="0"/>
    </xf>
    <xf numFmtId="49" fontId="5" fillId="2" borderId="103" xfId="0" applyNumberFormat="1" applyFont="1" applyFill="1" applyBorder="1" applyAlignment="1" applyProtection="1">
      <alignment horizontal="center" vertical="center" wrapText="1"/>
      <protection locked="0"/>
    </xf>
    <xf numFmtId="49" fontId="5" fillId="2" borderId="104" xfId="0" applyNumberFormat="1" applyFont="1" applyFill="1" applyBorder="1" applyAlignment="1" applyProtection="1">
      <alignment horizontal="center" vertical="center" wrapText="1"/>
      <protection locked="0"/>
    </xf>
    <xf numFmtId="49" fontId="5" fillId="2" borderId="96" xfId="0" applyNumberFormat="1" applyFont="1" applyFill="1" applyBorder="1" applyAlignment="1" applyProtection="1">
      <alignment horizontal="center" vertical="center" wrapText="1"/>
      <protection locked="0"/>
    </xf>
    <xf numFmtId="49" fontId="5" fillId="2" borderId="46" xfId="0" applyNumberFormat="1" applyFont="1" applyFill="1" applyBorder="1" applyAlignment="1" applyProtection="1">
      <alignment horizontal="center" vertical="center" wrapText="1"/>
      <protection locked="0"/>
    </xf>
    <xf numFmtId="49" fontId="5" fillId="2" borderId="4" xfId="0" applyNumberFormat="1" applyFont="1" applyFill="1" applyBorder="1" applyAlignment="1" applyProtection="1">
      <alignment horizontal="center" vertical="center" wrapText="1"/>
      <protection locked="0"/>
    </xf>
    <xf numFmtId="49" fontId="5" fillId="2" borderId="5" xfId="0" applyNumberFormat="1" applyFont="1" applyFill="1" applyBorder="1" applyAlignment="1" applyProtection="1">
      <alignment horizontal="center" vertical="center" wrapText="1"/>
      <protection locked="0"/>
    </xf>
    <xf numFmtId="49" fontId="5" fillId="2" borderId="45" xfId="0" applyNumberFormat="1" applyFont="1" applyFill="1" applyBorder="1" applyAlignment="1" applyProtection="1">
      <alignment horizontal="center" vertical="center" wrapText="1" shrinkToFit="1"/>
      <protection locked="0"/>
    </xf>
    <xf numFmtId="49" fontId="5" fillId="2" borderId="0" xfId="0" applyNumberFormat="1" applyFont="1" applyFill="1" applyAlignment="1" applyProtection="1">
      <alignment horizontal="center" vertical="center" wrapText="1" shrinkToFit="1"/>
      <protection locked="0"/>
    </xf>
    <xf numFmtId="49" fontId="5" fillId="2" borderId="2" xfId="0" applyNumberFormat="1" applyFont="1" applyFill="1" applyBorder="1" applyAlignment="1" applyProtection="1">
      <alignment horizontal="center" vertical="center" wrapText="1" shrinkToFit="1"/>
      <protection locked="0"/>
    </xf>
    <xf numFmtId="49" fontId="5" fillId="2" borderId="52" xfId="0" applyNumberFormat="1" applyFont="1" applyFill="1" applyBorder="1" applyAlignment="1" applyProtection="1">
      <alignment horizontal="center" vertical="center" wrapText="1" shrinkToFit="1"/>
      <protection locked="0"/>
    </xf>
    <xf numFmtId="49" fontId="5" fillId="2" borderId="44" xfId="0" applyNumberFormat="1" applyFont="1" applyFill="1" applyBorder="1" applyAlignment="1" applyProtection="1">
      <alignment horizontal="center" vertical="center" wrapText="1" shrinkToFit="1"/>
      <protection locked="0"/>
    </xf>
    <xf numFmtId="49" fontId="5" fillId="2" borderId="60" xfId="0" applyNumberFormat="1" applyFont="1" applyFill="1" applyBorder="1" applyAlignment="1" applyProtection="1">
      <alignment horizontal="center" vertical="center" wrapText="1" shrinkToFit="1"/>
      <protection locked="0"/>
    </xf>
    <xf numFmtId="49" fontId="5" fillId="2" borderId="76" xfId="0" applyNumberFormat="1" applyFont="1" applyFill="1" applyBorder="1" applyAlignment="1" applyProtection="1">
      <alignment horizontal="left" vertical="center" wrapText="1" indent="1" shrinkToFit="1"/>
      <protection locked="0"/>
    </xf>
    <xf numFmtId="49" fontId="5" fillId="2" borderId="0" xfId="0" applyNumberFormat="1" applyFont="1" applyFill="1" applyAlignment="1" applyProtection="1">
      <alignment horizontal="left" vertical="center" wrapText="1" indent="1" shrinkToFit="1"/>
      <protection locked="0"/>
    </xf>
    <xf numFmtId="49" fontId="5" fillId="2" borderId="2" xfId="0" applyNumberFormat="1" applyFont="1" applyFill="1" applyBorder="1" applyAlignment="1" applyProtection="1">
      <alignment horizontal="left" vertical="center" wrapText="1" indent="1" shrinkToFit="1"/>
      <protection locked="0"/>
    </xf>
    <xf numFmtId="49" fontId="5" fillId="2" borderId="148" xfId="0" applyNumberFormat="1" applyFont="1" applyFill="1" applyBorder="1" applyAlignment="1" applyProtection="1">
      <alignment horizontal="left" vertical="center" wrapText="1" indent="1" shrinkToFit="1"/>
      <protection locked="0"/>
    </xf>
    <xf numFmtId="49" fontId="5" fillId="2" borderId="44" xfId="0" applyNumberFormat="1" applyFont="1" applyFill="1" applyBorder="1" applyAlignment="1" applyProtection="1">
      <alignment horizontal="left" vertical="center" wrapText="1" indent="1" shrinkToFit="1"/>
      <protection locked="0"/>
    </xf>
    <xf numFmtId="49" fontId="5" fillId="2" borderId="60" xfId="0" applyNumberFormat="1" applyFont="1" applyFill="1" applyBorder="1" applyAlignment="1" applyProtection="1">
      <alignment horizontal="left" vertical="center" wrapText="1" indent="1" shrinkToFit="1"/>
      <protection locked="0"/>
    </xf>
    <xf numFmtId="49" fontId="50" fillId="2" borderId="103" xfId="0" applyNumberFormat="1" applyFont="1" applyFill="1" applyBorder="1" applyAlignment="1" applyProtection="1">
      <alignment horizontal="left" vertical="center" wrapText="1" indent="1"/>
      <protection locked="0"/>
    </xf>
    <xf numFmtId="49" fontId="50" fillId="2" borderId="104" xfId="0" applyNumberFormat="1" applyFont="1" applyFill="1" applyBorder="1" applyAlignment="1" applyProtection="1">
      <alignment horizontal="left" vertical="center" wrapText="1" indent="1"/>
      <protection locked="0"/>
    </xf>
    <xf numFmtId="49" fontId="50" fillId="2" borderId="96" xfId="0" applyNumberFormat="1" applyFont="1" applyFill="1" applyBorder="1" applyAlignment="1" applyProtection="1">
      <alignment horizontal="left" vertical="center" wrapText="1" indent="1"/>
      <protection locked="0"/>
    </xf>
    <xf numFmtId="49" fontId="50" fillId="2" borderId="102" xfId="0" applyNumberFormat="1" applyFont="1" applyFill="1" applyBorder="1" applyAlignment="1" applyProtection="1">
      <alignment horizontal="left" vertical="center" wrapText="1" indent="1"/>
      <protection locked="0"/>
    </xf>
    <xf numFmtId="49" fontId="50" fillId="2" borderId="140" xfId="0" applyNumberFormat="1" applyFont="1" applyFill="1" applyBorder="1" applyAlignment="1" applyProtection="1">
      <alignment horizontal="left" vertical="center" wrapText="1" indent="1"/>
      <protection locked="0"/>
    </xf>
    <xf numFmtId="49" fontId="50" fillId="2" borderId="97" xfId="0" applyNumberFormat="1" applyFont="1" applyFill="1" applyBorder="1" applyAlignment="1" applyProtection="1">
      <alignment horizontal="left" vertical="center" wrapText="1" indent="1"/>
      <protection locked="0"/>
    </xf>
    <xf numFmtId="167" fontId="3" fillId="2" borderId="103" xfId="0" applyNumberFormat="1" applyFont="1" applyFill="1" applyBorder="1" applyAlignment="1" applyProtection="1">
      <alignment horizontal="left" vertical="center" wrapText="1" indent="1"/>
      <protection locked="0"/>
    </xf>
    <xf numFmtId="167" fontId="3" fillId="2" borderId="104" xfId="0" applyNumberFormat="1" applyFont="1" applyFill="1" applyBorder="1" applyAlignment="1" applyProtection="1">
      <alignment horizontal="left" vertical="center" wrapText="1" indent="1"/>
      <protection locked="0"/>
    </xf>
    <xf numFmtId="167" fontId="3" fillId="2" borderId="99" xfId="0" applyNumberFormat="1" applyFont="1" applyFill="1" applyBorder="1" applyAlignment="1" applyProtection="1">
      <alignment horizontal="left" vertical="center" wrapText="1" indent="1"/>
      <protection locked="0"/>
    </xf>
    <xf numFmtId="167" fontId="3" fillId="2" borderId="102" xfId="0" applyNumberFormat="1" applyFont="1" applyFill="1" applyBorder="1" applyAlignment="1" applyProtection="1">
      <alignment horizontal="left" vertical="center" wrapText="1" indent="1"/>
      <protection locked="0"/>
    </xf>
    <xf numFmtId="167" fontId="3" fillId="2" borderId="140" xfId="0" applyNumberFormat="1" applyFont="1" applyFill="1" applyBorder="1" applyAlignment="1" applyProtection="1">
      <alignment horizontal="left" vertical="center" wrapText="1" indent="1"/>
      <protection locked="0"/>
    </xf>
    <xf numFmtId="167" fontId="3" fillId="2" borderId="154" xfId="0" applyNumberFormat="1" applyFont="1" applyFill="1" applyBorder="1" applyAlignment="1" applyProtection="1">
      <alignment horizontal="left" vertical="center" wrapText="1" indent="1"/>
      <protection locked="0"/>
    </xf>
    <xf numFmtId="164" fontId="3" fillId="0" borderId="103" xfId="0" applyNumberFormat="1" applyFont="1" applyBorder="1" applyAlignment="1">
      <alignment horizontal="center" vertical="center" wrapText="1"/>
    </xf>
    <xf numFmtId="164" fontId="3" fillId="0" borderId="104" xfId="0" applyNumberFormat="1" applyFont="1" applyBorder="1" applyAlignment="1">
      <alignment horizontal="center" vertical="center" wrapText="1"/>
    </xf>
    <xf numFmtId="164" fontId="3" fillId="0" borderId="102" xfId="0" applyNumberFormat="1" applyFont="1" applyBorder="1" applyAlignment="1">
      <alignment horizontal="center" vertical="center" wrapText="1"/>
    </xf>
    <xf numFmtId="164" fontId="3" fillId="0" borderId="140" xfId="0" applyNumberFormat="1" applyFont="1" applyBorder="1" applyAlignment="1">
      <alignment horizontal="center" vertical="center" wrapText="1"/>
    </xf>
    <xf numFmtId="164" fontId="3" fillId="0" borderId="45" xfId="0" applyNumberFormat="1" applyFont="1" applyBorder="1" applyAlignment="1">
      <alignment horizontal="center" vertical="center" wrapText="1"/>
    </xf>
    <xf numFmtId="164" fontId="3" fillId="0" borderId="0" xfId="0" applyNumberFormat="1" applyFont="1" applyAlignment="1">
      <alignment horizontal="center" vertical="center" wrapText="1"/>
    </xf>
    <xf numFmtId="164" fontId="3" fillId="0" borderId="2" xfId="0" applyNumberFormat="1" applyFont="1" applyBorder="1" applyAlignment="1">
      <alignment horizontal="center" vertical="center" wrapText="1"/>
    </xf>
    <xf numFmtId="164" fontId="3" fillId="0" borderId="47" xfId="0" applyNumberFormat="1" applyFont="1" applyBorder="1" applyAlignment="1">
      <alignment horizontal="center" vertical="center" wrapText="1"/>
    </xf>
    <xf numFmtId="164" fontId="3" fillId="0" borderId="97" xfId="0" applyNumberFormat="1" applyFont="1" applyBorder="1" applyAlignment="1">
      <alignment horizontal="center" vertical="center" wrapText="1"/>
    </xf>
    <xf numFmtId="166" fontId="5" fillId="0" borderId="45" xfId="0" applyNumberFormat="1" applyFont="1" applyBorder="1" applyAlignment="1">
      <alignment horizontal="center" vertical="center" wrapText="1" shrinkToFit="1"/>
    </xf>
    <xf numFmtId="166" fontId="5" fillId="0" borderId="0" xfId="0" applyNumberFormat="1" applyFont="1" applyAlignment="1">
      <alignment horizontal="center" vertical="center" wrapText="1" shrinkToFit="1"/>
    </xf>
    <xf numFmtId="166" fontId="5" fillId="0" borderId="2" xfId="0" applyNumberFormat="1" applyFont="1" applyBorder="1" applyAlignment="1">
      <alignment horizontal="center" vertical="center" wrapText="1" shrinkToFit="1"/>
    </xf>
    <xf numFmtId="166" fontId="5" fillId="0" borderId="90" xfId="0" applyNumberFormat="1" applyFont="1" applyBorder="1" applyAlignment="1">
      <alignment horizontal="center" vertical="center" wrapText="1" shrinkToFit="1"/>
    </xf>
    <xf numFmtId="166" fontId="5" fillId="0" borderId="4" xfId="0" applyNumberFormat="1" applyFont="1" applyBorder="1" applyAlignment="1">
      <alignment horizontal="center" vertical="center" wrapText="1" shrinkToFit="1"/>
    </xf>
    <xf numFmtId="166" fontId="5" fillId="0" borderId="5" xfId="0" applyNumberFormat="1" applyFont="1" applyBorder="1" applyAlignment="1">
      <alignment horizontal="center" vertical="center" wrapText="1" shrinkToFit="1"/>
    </xf>
    <xf numFmtId="49" fontId="5" fillId="2" borderId="76" xfId="0" applyNumberFormat="1" applyFont="1" applyFill="1" applyBorder="1" applyAlignment="1" applyProtection="1">
      <alignment horizontal="center" vertical="center" wrapText="1"/>
      <protection locked="0"/>
    </xf>
    <xf numFmtId="49" fontId="5" fillId="2" borderId="0" xfId="0" applyNumberFormat="1" applyFont="1" applyFill="1" applyAlignment="1" applyProtection="1">
      <alignment horizontal="center" vertical="center" wrapText="1"/>
      <protection locked="0"/>
    </xf>
    <xf numFmtId="49" fontId="5" fillId="2" borderId="2" xfId="0" applyNumberFormat="1" applyFont="1" applyFill="1" applyBorder="1" applyAlignment="1" applyProtection="1">
      <alignment horizontal="center" vertical="center" wrapText="1"/>
      <protection locked="0"/>
    </xf>
    <xf numFmtId="166" fontId="5" fillId="0" borderId="76" xfId="0" applyNumberFormat="1" applyFont="1" applyBorder="1" applyAlignment="1">
      <alignment horizontal="left" vertical="center" wrapText="1" indent="1" shrinkToFit="1"/>
    </xf>
    <xf numFmtId="166" fontId="5" fillId="0" borderId="0" xfId="0" applyNumberFormat="1" applyFont="1" applyAlignment="1">
      <alignment horizontal="left" vertical="center" wrapText="1" indent="1" shrinkToFit="1"/>
    </xf>
    <xf numFmtId="166" fontId="5" fillId="0" borderId="2" xfId="0" applyNumberFormat="1" applyFont="1" applyBorder="1" applyAlignment="1">
      <alignment horizontal="left" vertical="center" wrapText="1" indent="1" shrinkToFit="1"/>
    </xf>
    <xf numFmtId="166" fontId="5" fillId="0" borderId="46" xfId="0" applyNumberFormat="1" applyFont="1" applyBorder="1" applyAlignment="1">
      <alignment horizontal="left" vertical="center" wrapText="1" indent="1" shrinkToFit="1"/>
    </xf>
    <xf numFmtId="166" fontId="5" fillId="0" borderId="4" xfId="0" applyNumberFormat="1" applyFont="1" applyBorder="1" applyAlignment="1">
      <alignment horizontal="left" vertical="center" wrapText="1" indent="1" shrinkToFit="1"/>
    </xf>
    <xf numFmtId="166" fontId="5" fillId="0" borderId="5" xfId="0" applyNumberFormat="1" applyFont="1" applyBorder="1" applyAlignment="1">
      <alignment horizontal="left" vertical="center" wrapText="1" indent="1" shrinkToFit="1"/>
    </xf>
    <xf numFmtId="49" fontId="92" fillId="2" borderId="103" xfId="0" applyNumberFormat="1" applyFont="1" applyFill="1" applyBorder="1" applyAlignment="1" applyProtection="1">
      <alignment horizontal="left" vertical="center" wrapText="1" indent="1" shrinkToFit="1"/>
      <protection locked="0"/>
    </xf>
    <xf numFmtId="0" fontId="3" fillId="0" borderId="145" xfId="0" applyFont="1" applyBorder="1" applyAlignment="1">
      <alignment horizontal="center" vertical="center" wrapText="1"/>
    </xf>
    <xf numFmtId="49" fontId="3" fillId="0" borderId="89" xfId="0" applyNumberFormat="1" applyFont="1" applyBorder="1" applyAlignment="1">
      <alignment horizontal="center" vertical="center" wrapText="1"/>
    </xf>
    <xf numFmtId="49" fontId="3" fillId="0" borderId="64" xfId="0" applyNumberFormat="1" applyFont="1" applyBorder="1" applyAlignment="1">
      <alignment horizontal="center" vertical="center" wrapText="1"/>
    </xf>
    <xf numFmtId="167" fontId="2" fillId="2" borderId="76" xfId="0" applyNumberFormat="1" applyFont="1" applyFill="1" applyBorder="1" applyAlignment="1" applyProtection="1">
      <alignment horizontal="center" vertical="center"/>
      <protection locked="0"/>
    </xf>
    <xf numFmtId="167" fontId="2" fillId="2" borderId="0" xfId="0" applyNumberFormat="1" applyFont="1" applyFill="1" applyAlignment="1" applyProtection="1">
      <alignment horizontal="center" vertical="center"/>
      <protection locked="0"/>
    </xf>
    <xf numFmtId="167" fontId="2" fillId="2" borderId="2" xfId="0" applyNumberFormat="1" applyFont="1" applyFill="1" applyBorder="1" applyAlignment="1" applyProtection="1">
      <alignment horizontal="center" vertical="center"/>
      <protection locked="0"/>
    </xf>
    <xf numFmtId="167" fontId="2" fillId="2" borderId="148" xfId="0" applyNumberFormat="1" applyFont="1" applyFill="1" applyBorder="1" applyAlignment="1" applyProtection="1">
      <alignment horizontal="center" vertical="center"/>
      <protection locked="0"/>
    </xf>
    <xf numFmtId="167" fontId="2" fillId="2" borderId="44" xfId="0" applyNumberFormat="1" applyFont="1" applyFill="1" applyBorder="1" applyAlignment="1" applyProtection="1">
      <alignment horizontal="center" vertical="center"/>
      <protection locked="0"/>
    </xf>
    <xf numFmtId="167" fontId="2" fillId="2" borderId="60" xfId="0" applyNumberFormat="1" applyFont="1" applyFill="1" applyBorder="1" applyAlignment="1" applyProtection="1">
      <alignment horizontal="center" vertical="center"/>
      <protection locked="0"/>
    </xf>
    <xf numFmtId="49" fontId="5" fillId="2" borderId="148" xfId="0" applyNumberFormat="1" applyFont="1" applyFill="1" applyBorder="1" applyAlignment="1" applyProtection="1">
      <alignment horizontal="center" vertical="center" wrapText="1"/>
      <protection locked="0"/>
    </xf>
    <xf numFmtId="49" fontId="5" fillId="2" borderId="44" xfId="0" applyNumberFormat="1" applyFont="1" applyFill="1" applyBorder="1" applyAlignment="1" applyProtection="1">
      <alignment horizontal="center" vertical="center" wrapText="1"/>
      <protection locked="0"/>
    </xf>
    <xf numFmtId="49" fontId="5" fillId="2" borderId="60" xfId="0" applyNumberFormat="1" applyFont="1" applyFill="1" applyBorder="1" applyAlignment="1" applyProtection="1">
      <alignment horizontal="center" vertical="center" wrapText="1"/>
      <protection locked="0"/>
    </xf>
    <xf numFmtId="164" fontId="2" fillId="3" borderId="0" xfId="0" applyNumberFormat="1" applyFont="1" applyFill="1" applyAlignment="1">
      <alignment horizontal="left" indent="1"/>
    </xf>
    <xf numFmtId="0" fontId="77" fillId="0" borderId="28" xfId="3" applyFont="1" applyBorder="1" applyAlignment="1">
      <alignment horizontal="center" vertical="center" textRotation="180" wrapText="1"/>
    </xf>
    <xf numFmtId="0" fontId="77" fillId="0" borderId="15" xfId="3" applyFont="1" applyBorder="1" applyAlignment="1">
      <alignment horizontal="center" vertical="center" textRotation="180" wrapText="1"/>
    </xf>
    <xf numFmtId="0" fontId="77" fillId="0" borderId="30" xfId="3" applyFont="1" applyBorder="1" applyAlignment="1">
      <alignment horizontal="center" vertical="center" textRotation="180" wrapText="1"/>
    </xf>
    <xf numFmtId="167" fontId="2" fillId="0" borderId="76" xfId="0" applyNumberFormat="1" applyFont="1" applyBorder="1" applyAlignment="1">
      <alignment horizontal="center" vertical="center"/>
    </xf>
    <xf numFmtId="167" fontId="2" fillId="0" borderId="0" xfId="0" applyNumberFormat="1" applyFont="1" applyAlignment="1">
      <alignment horizontal="center" vertical="center"/>
    </xf>
    <xf numFmtId="167" fontId="2" fillId="0" borderId="2" xfId="0" applyNumberFormat="1" applyFont="1" applyBorder="1" applyAlignment="1">
      <alignment horizontal="center" vertical="center"/>
    </xf>
    <xf numFmtId="167" fontId="2" fillId="0" borderId="46" xfId="0" applyNumberFormat="1" applyFont="1" applyBorder="1" applyAlignment="1">
      <alignment horizontal="center" vertical="center"/>
    </xf>
    <xf numFmtId="167" fontId="2" fillId="0" borderId="4" xfId="0" applyNumberFormat="1" applyFont="1" applyBorder="1" applyAlignment="1">
      <alignment horizontal="center" vertical="center"/>
    </xf>
    <xf numFmtId="167" fontId="2" fillId="0" borderId="5" xfId="0" applyNumberFormat="1" applyFont="1" applyBorder="1" applyAlignment="1">
      <alignment horizontal="center" vertical="center"/>
    </xf>
    <xf numFmtId="0" fontId="5" fillId="3" borderId="139" xfId="0" applyFont="1" applyFill="1" applyBorder="1" applyAlignment="1">
      <alignment horizontal="left" vertical="center"/>
    </xf>
    <xf numFmtId="0" fontId="5" fillId="3" borderId="104" xfId="0" applyFont="1" applyFill="1" applyBorder="1" applyAlignment="1">
      <alignment horizontal="left" vertical="center"/>
    </xf>
    <xf numFmtId="0" fontId="5" fillId="3" borderId="96" xfId="0" applyFont="1" applyFill="1" applyBorder="1" applyAlignment="1">
      <alignment horizontal="left" vertical="center"/>
    </xf>
    <xf numFmtId="0" fontId="5" fillId="3" borderId="90" xfId="0" applyFont="1" applyFill="1" applyBorder="1" applyAlignment="1">
      <alignment horizontal="left" vertical="center"/>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5" fillId="0" borderId="139" xfId="0" applyFont="1" applyBorder="1" applyAlignment="1">
      <alignment horizontal="center" vertical="center" wrapText="1" shrinkToFit="1"/>
    </xf>
    <xf numFmtId="0" fontId="5" fillId="0" borderId="104" xfId="0" applyFont="1" applyBorder="1" applyAlignment="1">
      <alignment horizontal="center" vertical="center" wrapText="1" shrinkToFit="1"/>
    </xf>
    <xf numFmtId="0" fontId="5" fillId="0" borderId="96" xfId="0" applyFont="1" applyBorder="1" applyAlignment="1">
      <alignment horizontal="center" vertical="center" wrapText="1" shrinkToFit="1"/>
    </xf>
    <xf numFmtId="0" fontId="5" fillId="0" borderId="90"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wrapText="1" shrinkToFit="1"/>
    </xf>
    <xf numFmtId="166" fontId="5" fillId="0" borderId="76" xfId="0" applyNumberFormat="1" applyFont="1" applyBorder="1" applyAlignment="1">
      <alignment horizontal="center" vertical="center" wrapText="1"/>
    </xf>
    <xf numFmtId="166" fontId="5" fillId="0" borderId="0" xfId="0" applyNumberFormat="1" applyFont="1" applyAlignment="1">
      <alignment horizontal="center" vertical="center" wrapText="1"/>
    </xf>
    <xf numFmtId="166" fontId="5" fillId="0" borderId="2" xfId="0" applyNumberFormat="1" applyFont="1" applyBorder="1" applyAlignment="1">
      <alignment horizontal="center" vertical="center" wrapText="1"/>
    </xf>
    <xf numFmtId="166" fontId="5" fillId="0" borderId="46" xfId="0" applyNumberFormat="1" applyFont="1" applyBorder="1" applyAlignment="1">
      <alignment horizontal="center" vertical="center" wrapText="1"/>
    </xf>
    <xf numFmtId="166" fontId="5" fillId="0" borderId="4" xfId="0" applyNumberFormat="1" applyFont="1" applyBorder="1" applyAlignment="1">
      <alignment horizontal="center" vertical="center" wrapText="1"/>
    </xf>
    <xf numFmtId="166" fontId="5" fillId="0" borderId="5" xfId="0" applyNumberFormat="1" applyFont="1" applyBorder="1" applyAlignment="1">
      <alignment horizontal="center" vertical="center" wrapText="1"/>
    </xf>
    <xf numFmtId="0" fontId="62" fillId="3" borderId="148" xfId="0" applyFont="1" applyFill="1" applyBorder="1" applyAlignment="1">
      <alignment horizontal="left" vertical="center" shrinkToFit="1"/>
    </xf>
    <xf numFmtId="0" fontId="62" fillId="3" borderId="44" xfId="0" applyFont="1" applyFill="1" applyBorder="1" applyAlignment="1">
      <alignment horizontal="left" vertical="center" shrinkToFit="1"/>
    </xf>
    <xf numFmtId="166" fontId="12" fillId="2" borderId="44" xfId="0" applyNumberFormat="1" applyFont="1" applyFill="1" applyBorder="1" applyAlignment="1" applyProtection="1">
      <alignment horizontal="left" vertical="center" shrinkToFit="1"/>
      <protection locked="0"/>
    </xf>
    <xf numFmtId="166" fontId="12" fillId="2" borderId="157" xfId="0" applyNumberFormat="1" applyFont="1" applyFill="1" applyBorder="1" applyAlignment="1" applyProtection="1">
      <alignment horizontal="left" vertical="center" shrinkToFit="1"/>
      <protection locked="0"/>
    </xf>
    <xf numFmtId="0" fontId="70" fillId="3" borderId="0" xfId="0" applyFont="1" applyFill="1" applyAlignment="1">
      <alignment horizontal="center"/>
    </xf>
    <xf numFmtId="0" fontId="2" fillId="3" borderId="44" xfId="0" applyFont="1" applyFill="1" applyBorder="1" applyAlignment="1">
      <alignment horizontal="center" vertical="center"/>
    </xf>
    <xf numFmtId="0" fontId="3" fillId="2" borderId="6" xfId="0" applyFont="1" applyFill="1" applyBorder="1" applyAlignment="1" applyProtection="1">
      <alignment horizontal="left" vertical="top" wrapText="1" indent="1" shrinkToFit="1"/>
      <protection locked="0"/>
    </xf>
    <xf numFmtId="0" fontId="3" fillId="2" borderId="7" xfId="0" applyFont="1" applyFill="1" applyBorder="1" applyAlignment="1" applyProtection="1">
      <alignment horizontal="left" vertical="top" wrapText="1" indent="1" shrinkToFit="1"/>
      <protection locked="0"/>
    </xf>
    <xf numFmtId="0" fontId="3" fillId="2" borderId="14" xfId="0" applyFont="1" applyFill="1" applyBorder="1" applyAlignment="1" applyProtection="1">
      <alignment horizontal="left" vertical="top" wrapText="1" indent="1" shrinkToFit="1"/>
      <protection locked="0"/>
    </xf>
    <xf numFmtId="166" fontId="3" fillId="3" borderId="0" xfId="0" applyNumberFormat="1" applyFont="1" applyFill="1" applyAlignment="1" applyProtection="1">
      <alignment horizontal="left"/>
      <protection locked="0"/>
    </xf>
    <xf numFmtId="166" fontId="3" fillId="3" borderId="0" xfId="0" applyNumberFormat="1" applyFont="1" applyFill="1" applyAlignment="1">
      <alignment horizontal="left" vertical="center"/>
    </xf>
    <xf numFmtId="166" fontId="79" fillId="3" borderId="0" xfId="0" applyNumberFormat="1" applyFont="1" applyFill="1" applyAlignment="1">
      <alignment horizontal="justify" vertical="center"/>
    </xf>
    <xf numFmtId="166" fontId="5" fillId="3" borderId="0" xfId="0" applyNumberFormat="1" applyFont="1" applyFill="1" applyAlignment="1">
      <alignment horizontal="justify" vertical="center"/>
    </xf>
    <xf numFmtId="166" fontId="5" fillId="3" borderId="0" xfId="0" applyNumberFormat="1" applyFont="1" applyFill="1" applyAlignment="1">
      <alignment horizontal="left" vertical="top"/>
    </xf>
    <xf numFmtId="0" fontId="3" fillId="3" borderId="0" xfId="0" applyFont="1" applyFill="1" applyAlignment="1">
      <alignment horizontal="right"/>
    </xf>
    <xf numFmtId="0" fontId="62" fillId="3" borderId="103" xfId="0" applyFont="1" applyFill="1" applyBorder="1" applyAlignment="1">
      <alignment horizontal="left" vertical="center" shrinkToFit="1"/>
    </xf>
    <xf numFmtId="0" fontId="62" fillId="3" borderId="104" xfId="0" applyFont="1" applyFill="1" applyBorder="1" applyAlignment="1">
      <alignment horizontal="left" vertical="center" shrinkToFit="1"/>
    </xf>
    <xf numFmtId="166" fontId="12" fillId="2" borderId="104" xfId="0" applyNumberFormat="1" applyFont="1" applyFill="1" applyBorder="1" applyAlignment="1" applyProtection="1">
      <alignment horizontal="left" vertical="center" shrinkToFit="1"/>
      <protection locked="0"/>
    </xf>
    <xf numFmtId="166" fontId="12" fillId="2" borderId="99" xfId="0" applyNumberFormat="1" applyFont="1" applyFill="1" applyBorder="1" applyAlignment="1" applyProtection="1">
      <alignment horizontal="left" vertical="center" shrinkToFit="1"/>
      <protection locked="0"/>
    </xf>
    <xf numFmtId="0" fontId="62" fillId="3" borderId="46" xfId="0" applyFont="1" applyFill="1" applyBorder="1" applyAlignment="1">
      <alignment horizontal="left" vertical="center" shrinkToFit="1"/>
    </xf>
    <xf numFmtId="0" fontId="62" fillId="3" borderId="4" xfId="0" applyFont="1" applyFill="1" applyBorder="1" applyAlignment="1">
      <alignment horizontal="left" vertical="center" shrinkToFit="1"/>
    </xf>
    <xf numFmtId="166" fontId="12" fillId="2" borderId="4" xfId="0" applyNumberFormat="1" applyFont="1" applyFill="1" applyBorder="1" applyAlignment="1" applyProtection="1">
      <alignment horizontal="left" vertical="center" shrinkToFit="1"/>
      <protection locked="0"/>
    </xf>
    <xf numFmtId="166" fontId="12" fillId="2" borderId="100" xfId="0" applyNumberFormat="1" applyFont="1" applyFill="1" applyBorder="1" applyAlignment="1" applyProtection="1">
      <alignment horizontal="left" vertical="center" shrinkToFit="1"/>
      <protection locked="0"/>
    </xf>
    <xf numFmtId="0" fontId="62" fillId="3" borderId="76" xfId="0" applyFont="1" applyFill="1" applyBorder="1" applyAlignment="1">
      <alignment horizontal="left" vertical="center" shrinkToFit="1"/>
    </xf>
    <xf numFmtId="0" fontId="62" fillId="3" borderId="0" xfId="0" applyFont="1" applyFill="1" applyAlignment="1">
      <alignment horizontal="left" vertical="center" shrinkToFit="1"/>
    </xf>
    <xf numFmtId="166" fontId="12" fillId="2" borderId="0" xfId="0" applyNumberFormat="1" applyFont="1" applyFill="1" applyAlignment="1" applyProtection="1">
      <alignment horizontal="left" vertical="center" shrinkToFit="1"/>
      <protection locked="0"/>
    </xf>
    <xf numFmtId="166" fontId="12" fillId="2" borderId="150" xfId="0" applyNumberFormat="1" applyFont="1" applyFill="1" applyBorder="1" applyAlignment="1" applyProtection="1">
      <alignment horizontal="left" vertical="center" shrinkToFit="1"/>
      <protection locked="0"/>
    </xf>
    <xf numFmtId="166" fontId="82" fillId="2" borderId="4" xfId="0" applyNumberFormat="1" applyFont="1" applyFill="1" applyBorder="1" applyAlignment="1" applyProtection="1">
      <alignment horizontal="left" vertical="center" shrinkToFit="1"/>
      <protection locked="0"/>
    </xf>
    <xf numFmtId="166" fontId="81" fillId="2" borderId="4" xfId="0" applyNumberFormat="1" applyFont="1" applyFill="1" applyBorder="1" applyAlignment="1" applyProtection="1">
      <alignment horizontal="left" vertical="center" shrinkToFit="1"/>
      <protection locked="0"/>
    </xf>
    <xf numFmtId="0" fontId="70" fillId="0" borderId="0" xfId="0" applyFont="1" applyAlignment="1">
      <alignment horizontal="center"/>
    </xf>
    <xf numFmtId="0" fontId="59" fillId="0" borderId="146" xfId="0" applyFont="1" applyBorder="1" applyAlignment="1">
      <alignment horizontal="center" vertical="center" wrapText="1"/>
    </xf>
    <xf numFmtId="0" fontId="59" fillId="0" borderId="147" xfId="0" applyFont="1" applyBorder="1" applyAlignment="1">
      <alignment horizontal="center" vertical="center" wrapText="1"/>
    </xf>
    <xf numFmtId="0" fontId="59" fillId="0" borderId="149"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147" xfId="0" applyFont="1" applyBorder="1" applyAlignment="1">
      <alignment horizontal="center" vertical="center" wrapText="1"/>
    </xf>
    <xf numFmtId="0" fontId="4" fillId="0" borderId="149" xfId="0" applyFont="1" applyBorder="1" applyAlignment="1">
      <alignment horizontal="center" vertical="center" wrapText="1"/>
    </xf>
    <xf numFmtId="0" fontId="4" fillId="0" borderId="155" xfId="0" applyFont="1" applyBorder="1" applyAlignment="1">
      <alignment horizontal="center" vertical="center" wrapText="1"/>
    </xf>
    <xf numFmtId="166" fontId="12" fillId="3" borderId="0" xfId="0" applyNumberFormat="1" applyFont="1" applyFill="1" applyAlignment="1">
      <alignment horizontal="left" vertical="center" shrinkToFit="1"/>
    </xf>
    <xf numFmtId="166" fontId="12" fillId="3" borderId="150" xfId="0" applyNumberFormat="1" applyFont="1" applyFill="1" applyBorder="1" applyAlignment="1">
      <alignment horizontal="left" vertical="center" shrinkToFit="1"/>
    </xf>
    <xf numFmtId="166" fontId="12" fillId="3" borderId="4" xfId="0" applyNumberFormat="1" applyFont="1" applyFill="1" applyBorder="1" applyAlignment="1">
      <alignment horizontal="left" vertical="center" shrinkToFit="1"/>
    </xf>
    <xf numFmtId="166" fontId="12" fillId="3" borderId="100" xfId="0" applyNumberFormat="1" applyFont="1" applyFill="1" applyBorder="1" applyAlignment="1">
      <alignment horizontal="left" vertical="center" shrinkToFit="1"/>
    </xf>
    <xf numFmtId="0" fontId="5" fillId="0" borderId="31" xfId="0" applyFont="1" applyBorder="1" applyAlignment="1">
      <alignment horizontal="left" vertical="center" wrapText="1"/>
    </xf>
    <xf numFmtId="0" fontId="5" fillId="0" borderId="79" xfId="0" applyFont="1" applyBorder="1" applyAlignment="1">
      <alignment horizontal="left" vertical="center" wrapText="1"/>
    </xf>
    <xf numFmtId="0" fontId="5" fillId="0" borderId="59" xfId="0" applyFont="1" applyBorder="1" applyAlignment="1">
      <alignment horizontal="left" vertical="center" wrapText="1"/>
    </xf>
    <xf numFmtId="49" fontId="5" fillId="8" borderId="51" xfId="0" applyNumberFormat="1" applyFont="1" applyFill="1" applyBorder="1" applyAlignment="1" applyProtection="1">
      <alignment horizontal="left" vertical="center" wrapText="1" indent="1" shrinkToFit="1"/>
      <protection locked="0"/>
    </xf>
    <xf numFmtId="49" fontId="5" fillId="8" borderId="79" xfId="0" applyNumberFormat="1" applyFont="1" applyFill="1" applyBorder="1" applyAlignment="1" applyProtection="1">
      <alignment horizontal="left" vertical="center" wrapText="1" indent="1" shrinkToFit="1"/>
      <protection locked="0"/>
    </xf>
    <xf numFmtId="49" fontId="5" fillId="8" borderId="59" xfId="0" applyNumberFormat="1" applyFont="1" applyFill="1" applyBorder="1" applyAlignment="1" applyProtection="1">
      <alignment horizontal="left" vertical="center" wrapText="1" indent="1" shrinkToFit="1"/>
      <protection locked="0"/>
    </xf>
    <xf numFmtId="0" fontId="5" fillId="0" borderId="51" xfId="0" applyFont="1" applyBorder="1" applyAlignment="1">
      <alignment horizontal="center" vertical="center" wrapText="1"/>
    </xf>
    <xf numFmtId="0" fontId="5" fillId="0" borderId="79"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51" xfId="0" applyFont="1" applyBorder="1" applyAlignment="1">
      <alignment horizontal="center" vertical="center" wrapText="1" shrinkToFit="1"/>
    </xf>
    <xf numFmtId="0" fontId="5" fillId="0" borderId="79" xfId="0" applyFont="1" applyBorder="1" applyAlignment="1">
      <alignment horizontal="center" vertical="center" wrapText="1" shrinkToFit="1"/>
    </xf>
    <xf numFmtId="1" fontId="5" fillId="8" borderId="79" xfId="0" applyNumberFormat="1" applyFont="1" applyFill="1" applyBorder="1" applyAlignment="1" applyProtection="1">
      <alignment horizontal="left" vertical="center" wrapText="1" shrinkToFit="1"/>
      <protection locked="0"/>
    </xf>
    <xf numFmtId="1" fontId="5" fillId="8" borderId="84" xfId="0" applyNumberFormat="1" applyFont="1" applyFill="1" applyBorder="1" applyAlignment="1" applyProtection="1">
      <alignment horizontal="left" vertical="center" wrapText="1" shrinkToFit="1"/>
      <protection locked="0"/>
    </xf>
    <xf numFmtId="0" fontId="5" fillId="0" borderId="32" xfId="0" applyFont="1" applyBorder="1" applyAlignment="1">
      <alignment horizontal="left" vertical="center"/>
    </xf>
    <xf numFmtId="0" fontId="5" fillId="0" borderId="95" xfId="0" applyFont="1" applyBorder="1" applyAlignment="1">
      <alignment horizontal="left" vertical="center"/>
    </xf>
    <xf numFmtId="0" fontId="5" fillId="0" borderId="61" xfId="0" applyFont="1" applyBorder="1" applyAlignment="1">
      <alignment horizontal="left" vertical="center"/>
    </xf>
    <xf numFmtId="49" fontId="5" fillId="8" borderId="53" xfId="0" applyNumberFormat="1" applyFont="1" applyFill="1" applyBorder="1" applyAlignment="1" applyProtection="1">
      <alignment horizontal="left" vertical="center" wrapText="1" indent="1" shrinkToFit="1"/>
      <protection locked="0"/>
    </xf>
    <xf numFmtId="49" fontId="5" fillId="8" borderId="95" xfId="0" applyNumberFormat="1" applyFont="1" applyFill="1" applyBorder="1" applyAlignment="1" applyProtection="1">
      <alignment horizontal="left" vertical="center" wrapText="1" indent="1" shrinkToFit="1"/>
      <protection locked="0"/>
    </xf>
    <xf numFmtId="49" fontId="5" fillId="8" borderId="61" xfId="0" applyNumberFormat="1" applyFont="1" applyFill="1" applyBorder="1" applyAlignment="1" applyProtection="1">
      <alignment horizontal="left" vertical="center" wrapText="1" indent="1" shrinkToFit="1"/>
      <protection locked="0"/>
    </xf>
    <xf numFmtId="0" fontId="5" fillId="0" borderId="53"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53" xfId="0" applyFont="1" applyBorder="1" applyAlignment="1">
      <alignment horizontal="center" vertical="center" wrapText="1" shrinkToFit="1"/>
    </xf>
    <xf numFmtId="0" fontId="5" fillId="0" borderId="95" xfId="0" applyFont="1" applyBorder="1" applyAlignment="1">
      <alignment horizontal="center" vertical="center" wrapText="1" shrinkToFit="1"/>
    </xf>
    <xf numFmtId="3" fontId="5" fillId="8" borderId="95" xfId="0" applyNumberFormat="1" applyFont="1" applyFill="1" applyBorder="1" applyAlignment="1" applyProtection="1">
      <alignment horizontal="left" vertical="center" wrapText="1" shrinkToFit="1"/>
      <protection locked="0"/>
    </xf>
    <xf numFmtId="3" fontId="5" fillId="8" borderId="91" xfId="0" applyNumberFormat="1" applyFont="1" applyFill="1" applyBorder="1" applyAlignment="1" applyProtection="1">
      <alignment horizontal="left" vertical="center" wrapText="1" shrinkToFit="1"/>
      <protection locked="0"/>
    </xf>
    <xf numFmtId="0" fontId="5" fillId="0" borderId="85" xfId="0" applyFont="1" applyBorder="1" applyAlignment="1">
      <alignment horizontal="left" vertical="center" wrapText="1"/>
    </xf>
    <xf numFmtId="0" fontId="5" fillId="0" borderId="142" xfId="0" applyFont="1" applyBorder="1" applyAlignment="1">
      <alignment horizontal="left" vertical="center" wrapText="1"/>
    </xf>
    <xf numFmtId="0" fontId="5" fillId="0" borderId="67" xfId="0" applyFont="1" applyBorder="1" applyAlignment="1">
      <alignment horizontal="left" vertical="center" wrapText="1"/>
    </xf>
    <xf numFmtId="0" fontId="5" fillId="0" borderId="48" xfId="0" applyFont="1" applyBorder="1" applyAlignment="1">
      <alignment horizontal="center" vertical="center" wrapText="1" shrinkToFit="1"/>
    </xf>
    <xf numFmtId="0" fontId="5" fillId="0" borderId="142" xfId="0" applyFont="1" applyBorder="1" applyAlignment="1">
      <alignment horizontal="center" vertical="center" wrapText="1" shrinkToFit="1"/>
    </xf>
    <xf numFmtId="1" fontId="5" fillId="8" borderId="142" xfId="0" applyNumberFormat="1" applyFont="1" applyFill="1" applyBorder="1" applyAlignment="1" applyProtection="1">
      <alignment horizontal="left" vertical="center" wrapText="1" shrinkToFit="1"/>
      <protection locked="0"/>
    </xf>
    <xf numFmtId="1" fontId="5" fillId="8" borderId="67" xfId="0" applyNumberFormat="1" applyFont="1" applyFill="1" applyBorder="1" applyAlignment="1" applyProtection="1">
      <alignment horizontal="left" vertical="center" wrapText="1" shrinkToFit="1"/>
      <protection locked="0"/>
    </xf>
    <xf numFmtId="1" fontId="5" fillId="3" borderId="48" xfId="0" applyNumberFormat="1" applyFont="1" applyFill="1" applyBorder="1" applyAlignment="1">
      <alignment horizontal="center" vertical="center" wrapText="1" shrinkToFit="1"/>
    </xf>
    <xf numFmtId="1" fontId="5" fillId="3" borderId="142" xfId="0" applyNumberFormat="1" applyFont="1" applyFill="1" applyBorder="1" applyAlignment="1">
      <alignment horizontal="center" vertical="center" wrapText="1" shrinkToFit="1"/>
    </xf>
    <xf numFmtId="1" fontId="5" fillId="3" borderId="67" xfId="0" applyNumberFormat="1" applyFont="1" applyFill="1" applyBorder="1" applyAlignment="1">
      <alignment horizontal="center" vertical="center" wrapText="1" shrinkToFit="1"/>
    </xf>
    <xf numFmtId="1" fontId="5" fillId="8" borderId="86" xfId="0" applyNumberFormat="1" applyFont="1" applyFill="1" applyBorder="1" applyAlignment="1" applyProtection="1">
      <alignment horizontal="left" vertical="center" wrapText="1" shrinkToFit="1"/>
      <protection locked="0"/>
    </xf>
    <xf numFmtId="0" fontId="5" fillId="0" borderId="90"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49" fontId="5" fillId="8" borderId="46" xfId="0" applyNumberFormat="1" applyFont="1" applyFill="1" applyBorder="1" applyAlignment="1" applyProtection="1">
      <alignment horizontal="left" vertical="center" wrapText="1" indent="1" shrinkToFit="1"/>
      <protection locked="0"/>
    </xf>
    <xf numFmtId="49" fontId="5" fillId="8" borderId="4" xfId="0" applyNumberFormat="1" applyFont="1" applyFill="1" applyBorder="1" applyAlignment="1" applyProtection="1">
      <alignment horizontal="left" vertical="center" wrapText="1" indent="1" shrinkToFit="1"/>
      <protection locked="0"/>
    </xf>
    <xf numFmtId="49" fontId="5" fillId="8" borderId="100" xfId="0" applyNumberFormat="1" applyFont="1" applyFill="1" applyBorder="1" applyAlignment="1" applyProtection="1">
      <alignment horizontal="left" vertical="center" wrapText="1" indent="1" shrinkToFit="1"/>
      <protection locked="0"/>
    </xf>
    <xf numFmtId="0" fontId="5" fillId="0" borderId="31" xfId="0" applyFont="1" applyBorder="1" applyAlignment="1">
      <alignment horizontal="left" vertical="center"/>
    </xf>
    <xf numFmtId="0" fontId="5" fillId="0" borderId="79" xfId="0" applyFont="1" applyBorder="1" applyAlignment="1">
      <alignment horizontal="left" vertical="center"/>
    </xf>
    <xf numFmtId="0" fontId="5" fillId="0" borderId="59" xfId="0" applyFont="1" applyBorder="1" applyAlignment="1">
      <alignment horizontal="left" vertical="center"/>
    </xf>
    <xf numFmtId="49" fontId="5" fillId="8" borderId="84" xfId="0" applyNumberFormat="1" applyFont="1" applyFill="1" applyBorder="1" applyAlignment="1" applyProtection="1">
      <alignment horizontal="left" vertical="center" wrapText="1" indent="1" shrinkToFit="1"/>
      <protection locked="0"/>
    </xf>
    <xf numFmtId="0" fontId="5" fillId="0" borderId="139" xfId="0" applyFont="1" applyBorder="1" applyAlignment="1">
      <alignment horizontal="left" vertical="center"/>
    </xf>
    <xf numFmtId="0" fontId="5" fillId="0" borderId="104" xfId="0" applyFont="1" applyBorder="1" applyAlignment="1">
      <alignment horizontal="left" vertical="center"/>
    </xf>
    <xf numFmtId="0" fontId="5" fillId="0" borderId="96" xfId="0" applyFont="1" applyBorder="1" applyAlignment="1">
      <alignment horizontal="left" vertical="center"/>
    </xf>
    <xf numFmtId="49" fontId="5" fillId="8" borderId="1" xfId="0" applyNumberFormat="1" applyFont="1" applyFill="1" applyBorder="1" applyAlignment="1" applyProtection="1">
      <alignment horizontal="left" vertical="center" indent="1" shrinkToFit="1"/>
      <protection locked="0"/>
    </xf>
    <xf numFmtId="0" fontId="5" fillId="0" borderId="1" xfId="0" applyFont="1" applyBorder="1" applyAlignment="1">
      <alignment horizontal="center" vertical="center"/>
    </xf>
    <xf numFmtId="49" fontId="5" fillId="8" borderId="51" xfId="0" applyNumberFormat="1" applyFont="1" applyFill="1" applyBorder="1" applyAlignment="1" applyProtection="1">
      <alignment horizontal="left" vertical="center" indent="1" shrinkToFit="1"/>
      <protection locked="0"/>
    </xf>
    <xf numFmtId="49" fontId="5" fillId="8" borderId="79" xfId="0" applyNumberFormat="1" applyFont="1" applyFill="1" applyBorder="1" applyAlignment="1" applyProtection="1">
      <alignment horizontal="left" vertical="center" indent="1" shrinkToFit="1"/>
      <protection locked="0"/>
    </xf>
    <xf numFmtId="0" fontId="5" fillId="0" borderId="46"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167" fontId="92" fillId="8" borderId="51" xfId="0" applyNumberFormat="1" applyFont="1" applyFill="1" applyBorder="1" applyAlignment="1" applyProtection="1">
      <alignment horizontal="left" vertical="center" wrapText="1" indent="1"/>
      <protection locked="0"/>
    </xf>
    <xf numFmtId="167" fontId="5" fillId="8" borderId="79" xfId="0" applyNumberFormat="1" applyFont="1" applyFill="1" applyBorder="1" applyAlignment="1" applyProtection="1">
      <alignment horizontal="left" vertical="center" wrapText="1" indent="1"/>
      <protection locked="0"/>
    </xf>
    <xf numFmtId="167" fontId="5" fillId="8" borderId="84" xfId="0" applyNumberFormat="1" applyFont="1" applyFill="1" applyBorder="1" applyAlignment="1" applyProtection="1">
      <alignment horizontal="left" vertical="center" wrapText="1" indent="1"/>
      <protection locked="0"/>
    </xf>
    <xf numFmtId="0" fontId="5" fillId="3" borderId="51" xfId="0" applyFont="1" applyFill="1" applyBorder="1" applyAlignment="1">
      <alignment horizontal="left" vertical="center"/>
    </xf>
    <xf numFmtId="0" fontId="5" fillId="3" borderId="79" xfId="0" applyFont="1" applyFill="1" applyBorder="1" applyAlignment="1">
      <alignment horizontal="left" vertical="center"/>
    </xf>
    <xf numFmtId="49" fontId="5" fillId="8" borderId="79" xfId="0" applyNumberFormat="1" applyFont="1" applyFill="1" applyBorder="1" applyAlignment="1" applyProtection="1">
      <alignment horizontal="left" vertical="center" wrapText="1" shrinkToFit="1"/>
      <protection locked="0"/>
    </xf>
    <xf numFmtId="49" fontId="5" fillId="8" borderId="84" xfId="0" applyNumberFormat="1" applyFont="1" applyFill="1" applyBorder="1" applyAlignment="1" applyProtection="1">
      <alignment horizontal="left" vertical="center" wrapText="1" shrinkToFit="1"/>
      <protection locked="0"/>
    </xf>
    <xf numFmtId="0" fontId="5" fillId="3" borderId="46" xfId="0" applyFont="1" applyFill="1" applyBorder="1" applyAlignment="1">
      <alignment horizontal="left" vertical="center"/>
    </xf>
    <xf numFmtId="49" fontId="80" fillId="8" borderId="79" xfId="0" applyNumberFormat="1" applyFont="1" applyFill="1" applyBorder="1" applyAlignment="1" applyProtection="1">
      <alignment horizontal="left" vertical="center" wrapText="1" shrinkToFit="1"/>
      <protection locked="0"/>
    </xf>
    <xf numFmtId="0" fontId="5" fillId="0" borderId="32" xfId="0" applyFont="1" applyBorder="1" applyAlignment="1">
      <alignment horizontal="left" vertical="center" shrinkToFit="1"/>
    </xf>
    <xf numFmtId="0" fontId="5" fillId="0" borderId="95" xfId="0" applyFont="1" applyBorder="1" applyAlignment="1">
      <alignment horizontal="left" vertical="center" shrinkToFit="1"/>
    </xf>
    <xf numFmtId="0" fontId="5" fillId="0" borderId="61" xfId="0" applyFont="1" applyBorder="1" applyAlignment="1">
      <alignment horizontal="left" vertical="center" shrinkToFit="1"/>
    </xf>
    <xf numFmtId="49" fontId="3" fillId="2" borderId="53" xfId="0" applyNumberFormat="1" applyFont="1" applyFill="1" applyBorder="1" applyAlignment="1" applyProtection="1">
      <alignment horizontal="left" vertical="center" shrinkToFit="1"/>
      <protection locked="0"/>
    </xf>
    <xf numFmtId="49" fontId="3" fillId="2" borderId="95" xfId="0" applyNumberFormat="1" applyFont="1" applyFill="1" applyBorder="1" applyAlignment="1" applyProtection="1">
      <alignment horizontal="left" vertical="center" shrinkToFit="1"/>
      <protection locked="0"/>
    </xf>
    <xf numFmtId="49" fontId="3" fillId="2" borderId="61" xfId="0" applyNumberFormat="1" applyFont="1" applyFill="1" applyBorder="1" applyAlignment="1" applyProtection="1">
      <alignment horizontal="left" vertical="center" shrinkToFit="1"/>
      <protection locked="0"/>
    </xf>
    <xf numFmtId="0" fontId="5" fillId="0" borderId="53" xfId="0" applyFont="1" applyBorder="1" applyAlignment="1">
      <alignment horizontal="left" vertical="center" shrinkToFit="1"/>
    </xf>
    <xf numFmtId="49" fontId="3" fillId="2" borderId="53" xfId="0" applyNumberFormat="1" applyFont="1" applyFill="1" applyBorder="1" applyAlignment="1" applyProtection="1">
      <alignment horizontal="left" vertical="center" indent="1" shrinkToFit="1"/>
      <protection locked="0"/>
    </xf>
    <xf numFmtId="49" fontId="3" fillId="2" borderId="95" xfId="0" applyNumberFormat="1" applyFont="1" applyFill="1" applyBorder="1" applyAlignment="1" applyProtection="1">
      <alignment horizontal="left" vertical="center" indent="1" shrinkToFit="1"/>
      <protection locked="0"/>
    </xf>
    <xf numFmtId="49" fontId="3" fillId="2" borderId="91" xfId="0" applyNumberFormat="1" applyFont="1" applyFill="1" applyBorder="1" applyAlignment="1" applyProtection="1">
      <alignment horizontal="left" vertical="center" indent="1" shrinkToFit="1"/>
      <protection locked="0"/>
    </xf>
    <xf numFmtId="0" fontId="70" fillId="0" borderId="0" xfId="0" applyFont="1" applyAlignment="1">
      <alignment horizontal="center" shrinkToFit="1"/>
    </xf>
    <xf numFmtId="0" fontId="5" fillId="0" borderId="29" xfId="0" applyFont="1" applyBorder="1" applyAlignment="1">
      <alignment horizontal="left" vertical="center"/>
    </xf>
    <xf numFmtId="0" fontId="5" fillId="0" borderId="138" xfId="0" applyFont="1" applyBorder="1" applyAlignment="1">
      <alignment horizontal="left" vertical="center"/>
    </xf>
    <xf numFmtId="0" fontId="5" fillId="0" borderId="65" xfId="0" applyFont="1" applyBorder="1" applyAlignment="1">
      <alignment horizontal="left" vertical="center"/>
    </xf>
    <xf numFmtId="49" fontId="95" fillId="8" borderId="101" xfId="0" applyNumberFormat="1" applyFont="1" applyFill="1" applyBorder="1" applyAlignment="1" applyProtection="1">
      <alignment horizontal="left" vertical="center" indent="1" shrinkToFit="1"/>
      <protection locked="0"/>
    </xf>
    <xf numFmtId="49" fontId="5" fillId="8" borderId="138" xfId="0" applyNumberFormat="1" applyFont="1" applyFill="1" applyBorder="1" applyAlignment="1" applyProtection="1">
      <alignment horizontal="left" vertical="center" indent="1" shrinkToFit="1"/>
      <protection locked="0"/>
    </xf>
    <xf numFmtId="49" fontId="5" fillId="8" borderId="65" xfId="0" applyNumberFormat="1" applyFont="1" applyFill="1" applyBorder="1" applyAlignment="1" applyProtection="1">
      <alignment horizontal="left" vertical="center" indent="1" shrinkToFit="1"/>
      <protection locked="0"/>
    </xf>
    <xf numFmtId="0" fontId="5" fillId="0" borderId="9" xfId="0" applyFont="1" applyBorder="1" applyAlignment="1">
      <alignment horizontal="center" vertical="center"/>
    </xf>
    <xf numFmtId="49" fontId="5" fillId="8" borderId="101" xfId="0" applyNumberFormat="1" applyFont="1" applyFill="1" applyBorder="1" applyAlignment="1" applyProtection="1">
      <alignment horizontal="left" vertical="center" indent="1"/>
      <protection locked="0"/>
    </xf>
    <xf numFmtId="49" fontId="5" fillId="8" borderId="138" xfId="0" applyNumberFormat="1" applyFont="1" applyFill="1" applyBorder="1" applyAlignment="1" applyProtection="1">
      <alignment horizontal="left" vertical="center" indent="1"/>
      <protection locked="0"/>
    </xf>
    <xf numFmtId="49" fontId="5" fillId="8" borderId="83" xfId="0" applyNumberFormat="1" applyFont="1" applyFill="1" applyBorder="1" applyAlignment="1" applyProtection="1">
      <alignment horizontal="left" vertical="center" indent="1"/>
      <protection locked="0"/>
    </xf>
    <xf numFmtId="0" fontId="5" fillId="0" borderId="31" xfId="0" applyFont="1" applyBorder="1" applyAlignment="1">
      <alignment horizontal="left" vertical="center" shrinkToFit="1"/>
    </xf>
    <xf numFmtId="0" fontId="5" fillId="0" borderId="79" xfId="0" applyFont="1" applyBorder="1" applyAlignment="1">
      <alignment horizontal="left" vertical="center" shrinkToFit="1"/>
    </xf>
    <xf numFmtId="0" fontId="5" fillId="0" borderId="59" xfId="0" applyFont="1" applyBorder="1" applyAlignment="1">
      <alignment horizontal="left" vertical="center" shrinkToFit="1"/>
    </xf>
    <xf numFmtId="49" fontId="3" fillId="2" borderId="51" xfId="0" applyNumberFormat="1" applyFont="1" applyFill="1" applyBorder="1" applyAlignment="1" applyProtection="1">
      <alignment horizontal="left" vertical="center" shrinkToFit="1"/>
      <protection locked="0"/>
    </xf>
    <xf numFmtId="49" fontId="3" fillId="2" borderId="79" xfId="0" applyNumberFormat="1" applyFont="1" applyFill="1" applyBorder="1" applyAlignment="1" applyProtection="1">
      <alignment horizontal="left" vertical="center" shrinkToFit="1"/>
      <protection locked="0"/>
    </xf>
    <xf numFmtId="49" fontId="3" fillId="2" borderId="59" xfId="0" applyNumberFormat="1" applyFont="1" applyFill="1" applyBorder="1" applyAlignment="1" applyProtection="1">
      <alignment horizontal="left" vertical="center" shrinkToFit="1"/>
      <protection locked="0"/>
    </xf>
    <xf numFmtId="0" fontId="5" fillId="0" borderId="51" xfId="0" applyFont="1" applyBorder="1" applyAlignment="1">
      <alignment horizontal="left" vertical="center" shrinkToFit="1"/>
    </xf>
    <xf numFmtId="49" fontId="3" fillId="2" borderId="51" xfId="0" applyNumberFormat="1" applyFont="1" applyFill="1" applyBorder="1" applyAlignment="1" applyProtection="1">
      <alignment horizontal="center" vertical="center" shrinkToFit="1"/>
      <protection locked="0"/>
    </xf>
    <xf numFmtId="49" fontId="3" fillId="2" borderId="79" xfId="0" applyNumberFormat="1" applyFont="1" applyFill="1" applyBorder="1" applyAlignment="1" applyProtection="1">
      <alignment horizontal="center" vertical="center" shrinkToFit="1"/>
      <protection locked="0"/>
    </xf>
    <xf numFmtId="49" fontId="3" fillId="2" borderId="59" xfId="0" applyNumberFormat="1" applyFont="1" applyFill="1" applyBorder="1" applyAlignment="1" applyProtection="1">
      <alignment horizontal="center" vertical="center" shrinkToFit="1"/>
      <protection locked="0"/>
    </xf>
    <xf numFmtId="0" fontId="5" fillId="0" borderId="51" xfId="0" applyFont="1" applyBorder="1" applyAlignment="1">
      <alignment horizontal="left" vertical="center" wrapText="1"/>
    </xf>
    <xf numFmtId="49" fontId="3" fillId="2" borderId="51" xfId="0" applyNumberFormat="1" applyFont="1" applyFill="1" applyBorder="1" applyAlignment="1" applyProtection="1">
      <alignment horizontal="left" vertical="center" indent="1" shrinkToFit="1"/>
      <protection locked="0"/>
    </xf>
    <xf numFmtId="49" fontId="3" fillId="2" borderId="79" xfId="0" applyNumberFormat="1" applyFont="1" applyFill="1" applyBorder="1" applyAlignment="1" applyProtection="1">
      <alignment horizontal="left" vertical="center" indent="1" shrinkToFit="1"/>
      <protection locked="0"/>
    </xf>
    <xf numFmtId="49" fontId="3" fillId="2" borderId="84" xfId="0" applyNumberFormat="1" applyFont="1" applyFill="1" applyBorder="1" applyAlignment="1" applyProtection="1">
      <alignment horizontal="left" vertical="center" indent="1" shrinkToFit="1"/>
      <protection locked="0"/>
    </xf>
    <xf numFmtId="0" fontId="5" fillId="0" borderId="51" xfId="0" applyFont="1" applyBorder="1" applyAlignment="1">
      <alignment horizontal="left" vertical="center" wrapText="1" shrinkToFit="1"/>
    </xf>
    <xf numFmtId="0" fontId="5" fillId="0" borderId="79" xfId="0" applyFont="1" applyBorder="1" applyAlignment="1">
      <alignment horizontal="left" vertical="center" wrapText="1" shrinkToFit="1"/>
    </xf>
    <xf numFmtId="0" fontId="5" fillId="0" borderId="59" xfId="0" applyFont="1" applyBorder="1" applyAlignment="1">
      <alignment horizontal="left" vertical="center" wrapText="1" shrinkToFit="1"/>
    </xf>
    <xf numFmtId="0" fontId="5" fillId="0" borderId="85" xfId="0" applyFont="1" applyBorder="1" applyAlignment="1">
      <alignment horizontal="left" vertical="center" shrinkToFit="1"/>
    </xf>
    <xf numFmtId="0" fontId="5" fillId="0" borderId="142" xfId="0" applyFont="1" applyBorder="1" applyAlignment="1">
      <alignment horizontal="left" vertical="center" shrinkToFit="1"/>
    </xf>
    <xf numFmtId="0" fontId="5" fillId="0" borderId="67" xfId="0" applyFont="1" applyBorder="1" applyAlignment="1">
      <alignment horizontal="left" vertical="center" shrinkToFit="1"/>
    </xf>
    <xf numFmtId="49" fontId="51" fillId="2" borderId="48" xfId="0" applyNumberFormat="1" applyFont="1" applyFill="1" applyBorder="1" applyAlignment="1" applyProtection="1">
      <alignment horizontal="left" vertical="center" shrinkToFit="1"/>
      <protection locked="0"/>
    </xf>
    <xf numFmtId="49" fontId="3" fillId="2" borderId="142" xfId="0" applyNumberFormat="1" applyFont="1" applyFill="1" applyBorder="1" applyAlignment="1" applyProtection="1">
      <alignment horizontal="left" vertical="center" shrinkToFit="1"/>
      <protection locked="0"/>
    </xf>
    <xf numFmtId="49" fontId="3" fillId="2" borderId="67" xfId="0" applyNumberFormat="1" applyFont="1" applyFill="1" applyBorder="1" applyAlignment="1" applyProtection="1">
      <alignment horizontal="left" vertical="center" shrinkToFit="1"/>
      <protection locked="0"/>
    </xf>
    <xf numFmtId="0" fontId="5" fillId="0" borderId="48" xfId="0" applyFont="1" applyBorder="1" applyAlignment="1">
      <alignment horizontal="left" vertical="center" shrinkToFit="1"/>
    </xf>
    <xf numFmtId="49" fontId="3" fillId="2" borderId="48" xfId="0" applyNumberFormat="1" applyFont="1" applyFill="1" applyBorder="1" applyAlignment="1" applyProtection="1">
      <alignment horizontal="left" vertical="center" indent="1" shrinkToFit="1"/>
      <protection locked="0"/>
    </xf>
    <xf numFmtId="49" fontId="3" fillId="2" borderId="142" xfId="0" applyNumberFormat="1" applyFont="1" applyFill="1" applyBorder="1" applyAlignment="1" applyProtection="1">
      <alignment horizontal="left" vertical="center" indent="1" shrinkToFit="1"/>
      <protection locked="0"/>
    </xf>
    <xf numFmtId="49" fontId="3" fillId="2" borderId="86" xfId="0" applyNumberFormat="1" applyFont="1" applyFill="1" applyBorder="1" applyAlignment="1" applyProtection="1">
      <alignment horizontal="left" vertical="center" indent="1" shrinkToFit="1"/>
      <protection locked="0"/>
    </xf>
    <xf numFmtId="0" fontId="5" fillId="0" borderId="13" xfId="0" applyFont="1" applyBorder="1" applyAlignment="1">
      <alignment horizontal="left" vertical="center" shrinkToFit="1"/>
    </xf>
    <xf numFmtId="0" fontId="5" fillId="0" borderId="3" xfId="0" applyFont="1" applyBorder="1" applyAlignment="1">
      <alignment horizontal="left" vertical="center" shrinkToFit="1"/>
    </xf>
    <xf numFmtId="49" fontId="3" fillId="2" borderId="46" xfId="0" applyNumberFormat="1" applyFont="1" applyFill="1" applyBorder="1" applyAlignment="1" applyProtection="1">
      <alignment horizontal="left" vertical="center" shrinkToFit="1"/>
      <protection locked="0"/>
    </xf>
    <xf numFmtId="49" fontId="3" fillId="2" borderId="4" xfId="0" applyNumberFormat="1" applyFont="1" applyFill="1" applyBorder="1" applyAlignment="1" applyProtection="1">
      <alignment horizontal="left" vertical="center" shrinkToFit="1"/>
      <protection locked="0"/>
    </xf>
    <xf numFmtId="49" fontId="3" fillId="2" borderId="5" xfId="0" applyNumberFormat="1" applyFont="1" applyFill="1" applyBorder="1" applyAlignment="1" applyProtection="1">
      <alignment horizontal="left" vertical="center" shrinkToFit="1"/>
      <protection locked="0"/>
    </xf>
    <xf numFmtId="0" fontId="5" fillId="0" borderId="46"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167" fontId="3" fillId="2" borderId="46" xfId="0" applyNumberFormat="1" applyFont="1" applyFill="1" applyBorder="1" applyAlignment="1" applyProtection="1">
      <alignment horizontal="center" vertical="center" shrinkToFit="1"/>
      <protection locked="0"/>
    </xf>
    <xf numFmtId="167" fontId="3" fillId="2" borderId="4" xfId="0" applyNumberFormat="1" applyFont="1" applyFill="1" applyBorder="1" applyAlignment="1" applyProtection="1">
      <alignment horizontal="center" vertical="center" shrinkToFit="1"/>
      <protection locked="0"/>
    </xf>
    <xf numFmtId="167" fontId="3" fillId="2" borderId="5" xfId="0" applyNumberFormat="1" applyFont="1" applyFill="1" applyBorder="1" applyAlignment="1" applyProtection="1">
      <alignment horizontal="center" vertical="center" shrinkToFit="1"/>
      <protection locked="0"/>
    </xf>
    <xf numFmtId="0" fontId="5" fillId="3" borderId="3" xfId="0" applyFont="1" applyFill="1" applyBorder="1" applyAlignment="1">
      <alignment horizontal="left" vertical="center" shrinkToFit="1"/>
    </xf>
    <xf numFmtId="49" fontId="3" fillId="2" borderId="46" xfId="0" applyNumberFormat="1" applyFont="1" applyFill="1" applyBorder="1" applyAlignment="1" applyProtection="1">
      <alignment horizontal="left" vertical="center" indent="1" shrinkToFit="1"/>
      <protection locked="0"/>
    </xf>
    <xf numFmtId="49" fontId="3" fillId="2" borderId="4" xfId="0" applyNumberFormat="1" applyFont="1" applyFill="1" applyBorder="1" applyAlignment="1" applyProtection="1">
      <alignment horizontal="left" vertical="center" indent="1" shrinkToFit="1"/>
      <protection locked="0"/>
    </xf>
    <xf numFmtId="49" fontId="3" fillId="2" borderId="100" xfId="0" applyNumberFormat="1" applyFont="1" applyFill="1" applyBorder="1" applyAlignment="1" applyProtection="1">
      <alignment horizontal="left" vertical="center" indent="1" shrinkToFit="1"/>
      <protection locked="0"/>
    </xf>
    <xf numFmtId="49" fontId="51" fillId="2" borderId="51" xfId="0" applyNumberFormat="1" applyFont="1" applyFill="1" applyBorder="1" applyAlignment="1" applyProtection="1">
      <alignment horizontal="left" vertical="center" indent="1" shrinkToFit="1"/>
      <protection locked="0"/>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49" fontId="3" fillId="2" borderId="50" xfId="0" applyNumberFormat="1" applyFont="1" applyFill="1" applyBorder="1" applyAlignment="1" applyProtection="1">
      <alignment horizontal="left" vertical="center" shrinkToFit="1"/>
      <protection locked="0"/>
    </xf>
    <xf numFmtId="49" fontId="3" fillId="2" borderId="141" xfId="0" applyNumberFormat="1" applyFont="1" applyFill="1" applyBorder="1" applyAlignment="1" applyProtection="1">
      <alignment horizontal="left" vertical="center" shrinkToFit="1"/>
      <protection locked="0"/>
    </xf>
    <xf numFmtId="49" fontId="3" fillId="2" borderId="93" xfId="0" applyNumberFormat="1" applyFont="1" applyFill="1" applyBorder="1" applyAlignment="1" applyProtection="1">
      <alignment horizontal="left" vertical="center" shrinkToFit="1"/>
      <protection locked="0"/>
    </xf>
    <xf numFmtId="0" fontId="5" fillId="0" borderId="101" xfId="0" applyFont="1" applyBorder="1" applyAlignment="1">
      <alignment horizontal="left" vertical="center" shrinkToFit="1"/>
    </xf>
    <xf numFmtId="0" fontId="5" fillId="0" borderId="138" xfId="0" applyFont="1" applyBorder="1" applyAlignment="1">
      <alignment horizontal="left" vertical="center" shrinkToFit="1"/>
    </xf>
    <xf numFmtId="0" fontId="5" fillId="0" borderId="65" xfId="0" applyFont="1" applyBorder="1" applyAlignment="1">
      <alignment horizontal="left" vertical="center" shrinkToFit="1"/>
    </xf>
    <xf numFmtId="167" fontId="3" fillId="2" borderId="50" xfId="0" applyNumberFormat="1" applyFont="1" applyFill="1" applyBorder="1" applyAlignment="1" applyProtection="1">
      <alignment horizontal="center" vertical="center" shrinkToFit="1"/>
      <protection locked="0"/>
    </xf>
    <xf numFmtId="167" fontId="3" fillId="2" borderId="141" xfId="0" applyNumberFormat="1" applyFont="1" applyFill="1" applyBorder="1" applyAlignment="1" applyProtection="1">
      <alignment horizontal="center" vertical="center" shrinkToFit="1"/>
      <protection locked="0"/>
    </xf>
    <xf numFmtId="167" fontId="3" fillId="2" borderId="93" xfId="0" applyNumberFormat="1" applyFont="1" applyFill="1" applyBorder="1" applyAlignment="1" applyProtection="1">
      <alignment horizontal="center" vertical="center" shrinkToFit="1"/>
      <protection locked="0"/>
    </xf>
    <xf numFmtId="0" fontId="5" fillId="3" borderId="9" xfId="0" applyFont="1" applyFill="1" applyBorder="1" applyAlignment="1">
      <alignment horizontal="left" vertical="center" shrinkToFit="1"/>
    </xf>
    <xf numFmtId="49" fontId="3" fillId="2" borderId="50" xfId="0" applyNumberFormat="1" applyFont="1" applyFill="1" applyBorder="1" applyAlignment="1" applyProtection="1">
      <alignment horizontal="left" vertical="center" indent="1" shrinkToFit="1"/>
      <protection locked="0"/>
    </xf>
    <xf numFmtId="49" fontId="3" fillId="2" borderId="141" xfId="0" applyNumberFormat="1" applyFont="1" applyFill="1" applyBorder="1" applyAlignment="1" applyProtection="1">
      <alignment horizontal="left" vertical="center" indent="1" shrinkToFit="1"/>
      <protection locked="0"/>
    </xf>
    <xf numFmtId="49" fontId="3" fillId="2" borderId="87" xfId="0" applyNumberFormat="1" applyFont="1" applyFill="1" applyBorder="1" applyAlignment="1" applyProtection="1">
      <alignment horizontal="left" vertical="center" indent="1" shrinkToFit="1"/>
      <protection locked="0"/>
    </xf>
    <xf numFmtId="49" fontId="5" fillId="2" borderId="12" xfId="0" applyNumberFormat="1" applyFont="1" applyFill="1" applyBorder="1" applyAlignment="1" applyProtection="1">
      <alignment horizontal="left" vertical="center" wrapText="1" indent="1" shrinkToFit="1"/>
      <protection locked="0"/>
    </xf>
    <xf numFmtId="49" fontId="5" fillId="2" borderId="53" xfId="0" applyNumberFormat="1" applyFont="1" applyFill="1" applyBorder="1" applyAlignment="1" applyProtection="1">
      <alignment horizontal="left" vertical="center" indent="1" shrinkToFit="1"/>
      <protection locked="0"/>
    </xf>
    <xf numFmtId="49" fontId="5" fillId="2" borderId="95" xfId="0" applyNumberFormat="1" applyFont="1" applyFill="1" applyBorder="1" applyAlignment="1" applyProtection="1">
      <alignment horizontal="left" vertical="center" indent="1" shrinkToFit="1"/>
      <protection locked="0"/>
    </xf>
    <xf numFmtId="49" fontId="5" fillId="2" borderId="61" xfId="0" applyNumberFormat="1" applyFont="1" applyFill="1" applyBorder="1" applyAlignment="1" applyProtection="1">
      <alignment horizontal="left" vertical="center" indent="1" shrinkToFit="1"/>
      <protection locked="0"/>
    </xf>
    <xf numFmtId="167" fontId="3" fillId="2" borderId="12" xfId="0" applyNumberFormat="1" applyFont="1" applyFill="1" applyBorder="1" applyAlignment="1" applyProtection="1">
      <alignment horizontal="center" vertical="center" shrinkToFit="1"/>
      <protection locked="0"/>
    </xf>
    <xf numFmtId="167" fontId="3" fillId="2" borderId="18" xfId="0" applyNumberFormat="1" applyFont="1" applyFill="1" applyBorder="1" applyAlignment="1" applyProtection="1">
      <alignment horizontal="center" vertical="center" shrinkToFit="1"/>
      <protection locked="0"/>
    </xf>
    <xf numFmtId="0" fontId="54" fillId="0" borderId="0" xfId="0" applyFont="1" applyAlignment="1">
      <alignment horizontal="left" vertical="center"/>
    </xf>
    <xf numFmtId="49" fontId="3" fillId="2" borderId="9" xfId="0" applyNumberFormat="1" applyFont="1" applyFill="1" applyBorder="1" applyAlignment="1" applyProtection="1">
      <alignment horizontal="left" vertical="center" shrinkToFit="1"/>
      <protection locked="0"/>
    </xf>
    <xf numFmtId="167" fontId="3" fillId="2" borderId="101" xfId="0" applyNumberFormat="1" applyFont="1" applyFill="1" applyBorder="1" applyAlignment="1" applyProtection="1">
      <alignment horizontal="center" vertical="center" shrinkToFit="1"/>
      <protection locked="0"/>
    </xf>
    <xf numFmtId="167" fontId="3" fillId="2" borderId="138" xfId="0" applyNumberFormat="1" applyFont="1" applyFill="1" applyBorder="1" applyAlignment="1" applyProtection="1">
      <alignment horizontal="center" vertical="center" shrinkToFit="1"/>
      <protection locked="0"/>
    </xf>
    <xf numFmtId="167" fontId="3" fillId="2" borderId="65" xfId="0" applyNumberFormat="1" applyFont="1" applyFill="1" applyBorder="1" applyAlignment="1" applyProtection="1">
      <alignment horizontal="center" vertical="center" shrinkToFit="1"/>
      <protection locked="0"/>
    </xf>
    <xf numFmtId="49" fontId="3" fillId="2" borderId="9" xfId="0" applyNumberFormat="1" applyFont="1" applyFill="1" applyBorder="1" applyAlignment="1" applyProtection="1">
      <alignment horizontal="left" vertical="center" indent="1" shrinkToFit="1"/>
      <protection locked="0"/>
    </xf>
    <xf numFmtId="49" fontId="3" fillId="2" borderId="16" xfId="0" applyNumberFormat="1" applyFont="1" applyFill="1" applyBorder="1" applyAlignment="1" applyProtection="1">
      <alignment horizontal="left" vertical="center" indent="1" shrinkToFit="1"/>
      <protection locked="0"/>
    </xf>
    <xf numFmtId="49" fontId="5" fillId="2" borderId="3" xfId="0" applyNumberFormat="1" applyFont="1" applyFill="1" applyBorder="1" applyAlignment="1" applyProtection="1">
      <alignment horizontal="left" vertical="center" wrapText="1" indent="1" shrinkToFit="1"/>
      <protection locked="0"/>
    </xf>
    <xf numFmtId="49" fontId="5" fillId="2" borderId="50" xfId="0" applyNumberFormat="1" applyFont="1" applyFill="1" applyBorder="1" applyAlignment="1" applyProtection="1">
      <alignment horizontal="left" vertical="center" indent="1" shrinkToFit="1"/>
      <protection locked="0"/>
    </xf>
    <xf numFmtId="49" fontId="5" fillId="2" borderId="141" xfId="0" applyNumberFormat="1" applyFont="1" applyFill="1" applyBorder="1" applyAlignment="1" applyProtection="1">
      <alignment horizontal="left" vertical="center" indent="1" shrinkToFit="1"/>
      <protection locked="0"/>
    </xf>
    <xf numFmtId="49" fontId="5" fillId="2" borderId="93" xfId="0" applyNumberFormat="1" applyFont="1" applyFill="1" applyBorder="1" applyAlignment="1" applyProtection="1">
      <alignment horizontal="left" vertical="center" indent="1" shrinkToFit="1"/>
      <protection locked="0"/>
    </xf>
    <xf numFmtId="167" fontId="3" fillId="2" borderId="153" xfId="0" applyNumberFormat="1" applyFont="1" applyFill="1" applyBorder="1" applyAlignment="1" applyProtection="1">
      <alignment horizontal="center" vertical="center" shrinkToFit="1"/>
      <protection locked="0"/>
    </xf>
    <xf numFmtId="167" fontId="3" fillId="2" borderId="143" xfId="0" applyNumberFormat="1" applyFont="1" applyFill="1" applyBorder="1" applyAlignment="1" applyProtection="1">
      <alignment horizontal="center" vertical="center" shrinkToFit="1"/>
      <protection locked="0"/>
    </xf>
    <xf numFmtId="167" fontId="3" fillId="2" borderId="144" xfId="0" applyNumberFormat="1" applyFont="1" applyFill="1" applyBorder="1" applyAlignment="1" applyProtection="1">
      <alignment horizontal="center" vertical="center" shrinkToFit="1"/>
      <protection locked="0"/>
    </xf>
    <xf numFmtId="167" fontId="51" fillId="2" borderId="153" xfId="0" applyNumberFormat="1" applyFont="1" applyFill="1" applyBorder="1" applyAlignment="1" applyProtection="1">
      <alignment horizontal="center" vertical="center" shrinkToFit="1"/>
      <protection locked="0"/>
    </xf>
    <xf numFmtId="167" fontId="3" fillId="2" borderId="156" xfId="0" applyNumberFormat="1" applyFont="1" applyFill="1" applyBorder="1" applyAlignment="1" applyProtection="1">
      <alignment horizontal="center" vertical="center" shrinkToFit="1"/>
      <protection locked="0"/>
    </xf>
    <xf numFmtId="49" fontId="5" fillId="2" borderId="1" xfId="0" applyNumberFormat="1" applyFont="1" applyFill="1" applyBorder="1" applyAlignment="1" applyProtection="1">
      <alignment horizontal="left" vertical="center" wrapText="1" indent="1" shrinkToFit="1"/>
      <protection locked="0"/>
    </xf>
    <xf numFmtId="49" fontId="5" fillId="2" borderId="51" xfId="0" applyNumberFormat="1" applyFont="1" applyFill="1" applyBorder="1" applyAlignment="1" applyProtection="1">
      <alignment horizontal="left" vertical="center" indent="1" shrinkToFit="1"/>
      <protection locked="0"/>
    </xf>
    <xf numFmtId="49" fontId="5" fillId="2" borderId="79" xfId="0" applyNumberFormat="1" applyFont="1" applyFill="1" applyBorder="1" applyAlignment="1" applyProtection="1">
      <alignment horizontal="left" vertical="center" indent="1" shrinkToFit="1"/>
      <protection locked="0"/>
    </xf>
    <xf numFmtId="49" fontId="5" fillId="2" borderId="59" xfId="0" applyNumberFormat="1" applyFont="1" applyFill="1" applyBorder="1" applyAlignment="1" applyProtection="1">
      <alignment horizontal="left" vertical="center" indent="1" shrinkToFit="1"/>
      <protection locked="0"/>
    </xf>
    <xf numFmtId="167" fontId="3" fillId="2" borderId="1" xfId="0" applyNumberFormat="1" applyFont="1" applyFill="1" applyBorder="1" applyAlignment="1" applyProtection="1">
      <alignment horizontal="center" vertical="center" shrinkToFit="1"/>
      <protection locked="0"/>
    </xf>
    <xf numFmtId="167" fontId="3" fillId="2" borderId="17" xfId="0" applyNumberFormat="1" applyFont="1" applyFill="1" applyBorder="1" applyAlignment="1" applyProtection="1">
      <alignment horizontal="center" vertical="center" shrinkToFit="1"/>
      <protection locked="0"/>
    </xf>
    <xf numFmtId="49" fontId="5" fillId="2" borderId="52" xfId="0" applyNumberFormat="1" applyFont="1" applyFill="1" applyBorder="1" applyAlignment="1" applyProtection="1">
      <alignment horizontal="center" vertical="center"/>
      <protection locked="0"/>
    </xf>
    <xf numFmtId="49" fontId="5" fillId="2" borderId="44" xfId="0" applyNumberFormat="1" applyFont="1" applyFill="1" applyBorder="1" applyAlignment="1" applyProtection="1">
      <alignment horizontal="center" vertical="center"/>
      <protection locked="0"/>
    </xf>
    <xf numFmtId="0" fontId="59" fillId="2" borderId="148" xfId="0" applyFont="1" applyFill="1" applyBorder="1" applyAlignment="1" applyProtection="1">
      <alignment horizontal="center" vertical="center"/>
      <protection locked="0"/>
    </xf>
    <xf numFmtId="0" fontId="59" fillId="2" borderId="44" xfId="0" applyFont="1" applyFill="1" applyBorder="1" applyAlignment="1" applyProtection="1">
      <alignment horizontal="center" vertical="center"/>
      <protection locked="0"/>
    </xf>
    <xf numFmtId="0" fontId="59" fillId="2" borderId="60" xfId="0" applyFont="1" applyFill="1" applyBorder="1" applyAlignment="1" applyProtection="1">
      <alignment horizontal="center" vertical="center"/>
      <protection locked="0"/>
    </xf>
    <xf numFmtId="0" fontId="55" fillId="2" borderId="53" xfId="0" applyFont="1" applyFill="1" applyBorder="1" applyAlignment="1" applyProtection="1">
      <alignment horizontal="center"/>
      <protection locked="0"/>
    </xf>
    <xf numFmtId="0" fontId="55" fillId="2" borderId="95" xfId="0" applyFont="1" applyFill="1" applyBorder="1" applyAlignment="1" applyProtection="1">
      <alignment horizontal="center"/>
      <protection locked="0"/>
    </xf>
    <xf numFmtId="0" fontId="55" fillId="2" borderId="61" xfId="0" applyFont="1" applyFill="1" applyBorder="1" applyAlignment="1" applyProtection="1">
      <alignment horizontal="center"/>
      <protection locked="0"/>
    </xf>
    <xf numFmtId="49" fontId="4" fillId="2" borderId="148" xfId="0" applyNumberFormat="1" applyFont="1" applyFill="1" applyBorder="1" applyAlignment="1" applyProtection="1">
      <alignment horizontal="center" vertical="center"/>
      <protection locked="0"/>
    </xf>
    <xf numFmtId="49" fontId="4" fillId="2" borderId="44" xfId="0" applyNumberFormat="1" applyFont="1" applyFill="1" applyBorder="1" applyAlignment="1" applyProtection="1">
      <alignment horizontal="center" vertical="center"/>
      <protection locked="0"/>
    </xf>
    <xf numFmtId="49" fontId="4" fillId="2" borderId="157" xfId="0" applyNumberFormat="1" applyFont="1" applyFill="1" applyBorder="1" applyAlignment="1" applyProtection="1">
      <alignment horizontal="center" vertical="center"/>
      <protection locked="0"/>
    </xf>
    <xf numFmtId="0" fontId="70" fillId="3" borderId="27" xfId="0" applyFont="1" applyFill="1" applyBorder="1" applyAlignment="1">
      <alignment horizontal="center"/>
    </xf>
    <xf numFmtId="0" fontId="5" fillId="3" borderId="0" xfId="0" applyFont="1" applyFill="1" applyAlignment="1">
      <alignment horizontal="center" vertical="center"/>
    </xf>
    <xf numFmtId="0" fontId="3" fillId="0" borderId="149"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147" xfId="0" applyFont="1" applyBorder="1" applyAlignment="1">
      <alignment horizontal="center" vertical="center" wrapText="1"/>
    </xf>
    <xf numFmtId="0" fontId="3" fillId="0" borderId="155" xfId="0" applyFont="1" applyBorder="1" applyAlignment="1">
      <alignment horizontal="center" vertical="center" wrapText="1"/>
    </xf>
    <xf numFmtId="0" fontId="3" fillId="0" borderId="146" xfId="0" applyFont="1" applyBorder="1" applyAlignment="1">
      <alignment horizontal="center" vertical="center"/>
    </xf>
    <xf numFmtId="0" fontId="3" fillId="0" borderId="147" xfId="0" applyFont="1" applyBorder="1" applyAlignment="1">
      <alignment horizontal="center" vertical="center"/>
    </xf>
    <xf numFmtId="0" fontId="3" fillId="0" borderId="55" xfId="0" applyFont="1" applyBorder="1" applyAlignment="1">
      <alignment horizontal="center" vertical="center"/>
    </xf>
    <xf numFmtId="0" fontId="3" fillId="0" borderId="71" xfId="0" applyFont="1" applyBorder="1" applyAlignment="1">
      <alignment horizontal="center" vertical="center"/>
    </xf>
    <xf numFmtId="0" fontId="3" fillId="0" borderId="149" xfId="0" applyFont="1" applyBorder="1" applyAlignment="1">
      <alignment horizontal="center" vertical="center"/>
    </xf>
    <xf numFmtId="0" fontId="3" fillId="0" borderId="155" xfId="0" applyFont="1" applyBorder="1" applyAlignment="1">
      <alignment horizontal="center" vertical="center"/>
    </xf>
    <xf numFmtId="49" fontId="5" fillId="2" borderId="78" xfId="0" applyNumberFormat="1" applyFont="1" applyFill="1" applyBorder="1" applyAlignment="1" applyProtection="1">
      <alignment horizontal="center" vertical="center"/>
      <protection locked="0"/>
    </xf>
    <xf numFmtId="49" fontId="5" fillId="2" borderId="141" xfId="0" applyNumberFormat="1" applyFont="1" applyFill="1" applyBorder="1" applyAlignment="1" applyProtection="1">
      <alignment horizontal="center" vertical="center"/>
      <protection locked="0"/>
    </xf>
    <xf numFmtId="0" fontId="59" fillId="2" borderId="3" xfId="0" applyFont="1" applyFill="1" applyBorder="1" applyAlignment="1" applyProtection="1">
      <alignment horizontal="center" vertical="center"/>
      <protection locked="0"/>
    </xf>
    <xf numFmtId="0" fontId="55" fillId="2" borderId="50" xfId="0" applyFont="1" applyFill="1" applyBorder="1" applyAlignment="1" applyProtection="1">
      <alignment horizontal="center"/>
      <protection locked="0"/>
    </xf>
    <xf numFmtId="0" fontId="55" fillId="2" borderId="141" xfId="0" applyFont="1" applyFill="1" applyBorder="1" applyAlignment="1" applyProtection="1">
      <alignment horizontal="center"/>
      <protection locked="0"/>
    </xf>
    <xf numFmtId="0" fontId="55" fillId="2" borderId="93" xfId="0" applyFont="1" applyFill="1" applyBorder="1" applyAlignment="1" applyProtection="1">
      <alignment horizontal="center"/>
      <protection locked="0"/>
    </xf>
    <xf numFmtId="167" fontId="3" fillId="2" borderId="3" xfId="0" applyNumberFormat="1" applyFont="1" applyFill="1" applyBorder="1" applyAlignment="1" applyProtection="1">
      <alignment horizontal="center" vertical="center" shrinkToFit="1"/>
      <protection locked="0"/>
    </xf>
    <xf numFmtId="49" fontId="4" fillId="2" borderId="46" xfId="0" applyNumberFormat="1" applyFont="1" applyFill="1" applyBorder="1" applyAlignment="1" applyProtection="1">
      <alignment horizontal="center" vertical="center"/>
      <protection locked="0"/>
    </xf>
    <xf numFmtId="49" fontId="4" fillId="2" borderId="4" xfId="0" applyNumberFormat="1" applyFont="1" applyFill="1" applyBorder="1" applyAlignment="1" applyProtection="1">
      <alignment horizontal="center" vertical="center"/>
      <protection locked="0"/>
    </xf>
    <xf numFmtId="49" fontId="4" fillId="2" borderId="100" xfId="0" applyNumberFormat="1" applyFont="1" applyFill="1" applyBorder="1" applyAlignment="1" applyProtection="1">
      <alignment horizontal="center" vertical="center"/>
      <protection locked="0"/>
    </xf>
    <xf numFmtId="49" fontId="5" fillId="2" borderId="148" xfId="0" applyNumberFormat="1" applyFont="1" applyFill="1" applyBorder="1" applyAlignment="1" applyProtection="1">
      <alignment horizontal="left" vertical="center" indent="1" shrinkToFit="1"/>
      <protection locked="0"/>
    </xf>
    <xf numFmtId="49" fontId="5" fillId="2" borderId="44" xfId="0" applyNumberFormat="1" applyFont="1" applyFill="1" applyBorder="1" applyAlignment="1" applyProtection="1">
      <alignment horizontal="left" vertical="center" indent="1" shrinkToFit="1"/>
      <protection locked="0"/>
    </xf>
    <xf numFmtId="49" fontId="5" fillId="2" borderId="60" xfId="0" applyNumberFormat="1" applyFont="1" applyFill="1" applyBorder="1" applyAlignment="1" applyProtection="1">
      <alignment horizontal="left" vertical="center" indent="1" shrinkToFit="1"/>
      <protection locked="0"/>
    </xf>
    <xf numFmtId="0" fontId="7" fillId="3" borderId="0" xfId="0" applyFont="1" applyFill="1" applyAlignment="1">
      <alignment horizontal="center"/>
    </xf>
    <xf numFmtId="0" fontId="5" fillId="0" borderId="52" xfId="0" applyFont="1" applyBorder="1" applyAlignment="1">
      <alignment horizontal="right" vertical="center"/>
    </xf>
    <xf numFmtId="0" fontId="5" fillId="0" borderId="44" xfId="0" applyFont="1" applyBorder="1" applyAlignment="1">
      <alignment horizontal="right" vertical="center"/>
    </xf>
    <xf numFmtId="175" fontId="5" fillId="0" borderId="44" xfId="0" applyNumberFormat="1" applyFont="1" applyBorder="1" applyAlignment="1">
      <alignment horizontal="center" vertical="center"/>
    </xf>
    <xf numFmtId="175" fontId="5" fillId="0" borderId="157" xfId="0" applyNumberFormat="1" applyFont="1" applyBorder="1" applyAlignment="1">
      <alignment horizontal="center" vertical="center"/>
    </xf>
    <xf numFmtId="0" fontId="70" fillId="0" borderId="27" xfId="0" applyFont="1" applyBorder="1" applyAlignment="1">
      <alignment horizontal="center"/>
    </xf>
    <xf numFmtId="49" fontId="5" fillId="2" borderId="46" xfId="0" applyNumberFormat="1" applyFont="1" applyFill="1" applyBorder="1" applyAlignment="1" applyProtection="1">
      <alignment horizontal="left" vertical="center" indent="1" shrinkToFit="1"/>
      <protection locked="0"/>
    </xf>
    <xf numFmtId="49" fontId="5" fillId="2" borderId="4" xfId="0" applyNumberFormat="1" applyFont="1" applyFill="1" applyBorder="1" applyAlignment="1" applyProtection="1">
      <alignment horizontal="left" vertical="center" indent="1" shrinkToFit="1"/>
      <protection locked="0"/>
    </xf>
    <xf numFmtId="49" fontId="5" fillId="2" borderId="5" xfId="0" applyNumberFormat="1" applyFont="1" applyFill="1" applyBorder="1" applyAlignment="1" applyProtection="1">
      <alignment horizontal="left" vertical="center" indent="1" shrinkToFit="1"/>
      <protection locked="0"/>
    </xf>
    <xf numFmtId="49" fontId="5" fillId="2" borderId="1" xfId="0" applyNumberFormat="1" applyFont="1" applyFill="1" applyBorder="1" applyAlignment="1" applyProtection="1">
      <alignment horizontal="left" vertical="center" indent="1" shrinkToFit="1"/>
      <protection locked="0"/>
    </xf>
    <xf numFmtId="49" fontId="5" fillId="2" borderId="48" xfId="0" applyNumberFormat="1" applyFont="1" applyFill="1" applyBorder="1" applyAlignment="1" applyProtection="1">
      <alignment horizontal="left" vertical="center" indent="1" shrinkToFit="1"/>
      <protection locked="0"/>
    </xf>
    <xf numFmtId="49" fontId="5" fillId="2" borderId="142" xfId="0" applyNumberFormat="1" applyFont="1" applyFill="1" applyBorder="1" applyAlignment="1" applyProtection="1">
      <alignment horizontal="left" vertical="center" indent="1" shrinkToFit="1"/>
      <protection locked="0"/>
    </xf>
    <xf numFmtId="49" fontId="5" fillId="2" borderId="67" xfId="0" applyNumberFormat="1" applyFont="1" applyFill="1" applyBorder="1" applyAlignment="1" applyProtection="1">
      <alignment horizontal="left" vertical="center" indent="1" shrinkToFit="1"/>
      <protection locked="0"/>
    </xf>
    <xf numFmtId="49" fontId="5" fillId="2" borderId="38" xfId="0" applyNumberFormat="1" applyFont="1" applyFill="1" applyBorder="1" applyAlignment="1" applyProtection="1">
      <alignment horizontal="left" vertical="center" indent="1" shrinkToFit="1"/>
      <protection locked="0"/>
    </xf>
    <xf numFmtId="167" fontId="3" fillId="2" borderId="38" xfId="0" applyNumberFormat="1" applyFont="1" applyFill="1" applyBorder="1" applyAlignment="1" applyProtection="1">
      <alignment horizontal="center" vertical="center" shrinkToFit="1"/>
      <protection locked="0"/>
    </xf>
    <xf numFmtId="167" fontId="3" fillId="2" borderId="39" xfId="0" applyNumberFormat="1" applyFont="1" applyFill="1" applyBorder="1" applyAlignment="1" applyProtection="1">
      <alignment horizontal="center" vertical="center" shrinkToFit="1"/>
      <protection locked="0"/>
    </xf>
    <xf numFmtId="49" fontId="5" fillId="2" borderId="3" xfId="0" applyNumberFormat="1" applyFont="1" applyFill="1" applyBorder="1" applyAlignment="1" applyProtection="1">
      <alignment horizontal="left" vertical="center" indent="1" shrinkToFit="1"/>
      <protection locked="0"/>
    </xf>
    <xf numFmtId="0" fontId="92" fillId="0" borderId="3" xfId="0" applyFont="1" applyBorder="1" applyAlignment="1">
      <alignment horizontal="left" vertical="center" indent="1" shrinkToFit="1"/>
    </xf>
    <xf numFmtId="0" fontId="5" fillId="0" borderId="3" xfId="0" applyFont="1" applyBorder="1" applyAlignment="1">
      <alignment horizontal="left" vertical="center" indent="1" shrinkToFit="1"/>
    </xf>
    <xf numFmtId="164" fontId="5" fillId="0" borderId="44" xfId="0" applyNumberFormat="1" applyFont="1" applyBorder="1" applyAlignment="1">
      <alignment horizontal="left" vertical="center" indent="1" shrinkToFit="1"/>
    </xf>
    <xf numFmtId="49" fontId="3" fillId="2" borderId="53" xfId="0" applyNumberFormat="1" applyFont="1" applyFill="1" applyBorder="1" applyAlignment="1" applyProtection="1">
      <alignment horizontal="center" vertical="center" wrapText="1"/>
      <protection locked="0"/>
    </xf>
    <xf numFmtId="49" fontId="3" fillId="2" borderId="95" xfId="0" applyNumberFormat="1" applyFont="1" applyFill="1" applyBorder="1" applyAlignment="1" applyProtection="1">
      <alignment horizontal="center" vertical="center" wrapText="1"/>
      <protection locked="0"/>
    </xf>
    <xf numFmtId="49" fontId="3" fillId="2" borderId="61" xfId="0" applyNumberFormat="1" applyFont="1" applyFill="1" applyBorder="1" applyAlignment="1" applyProtection="1">
      <alignment horizontal="center" vertical="center" wrapText="1"/>
      <protection locked="0"/>
    </xf>
    <xf numFmtId="164" fontId="4" fillId="0" borderId="53" xfId="0" applyNumberFormat="1" applyFont="1" applyBorder="1" applyAlignment="1">
      <alignment horizontal="center" vertical="center"/>
    </xf>
    <xf numFmtId="164" fontId="4" fillId="0" borderId="95" xfId="0" applyNumberFormat="1" applyFont="1" applyBorder="1" applyAlignment="1">
      <alignment horizontal="center" vertical="center"/>
    </xf>
    <xf numFmtId="164" fontId="4" fillId="0" borderId="61" xfId="0" applyNumberFormat="1" applyFont="1" applyBorder="1" applyAlignment="1">
      <alignment horizontal="center" vertical="center"/>
    </xf>
    <xf numFmtId="49" fontId="3" fillId="2" borderId="53" xfId="0" applyNumberFormat="1" applyFont="1" applyFill="1" applyBorder="1" applyAlignment="1" applyProtection="1">
      <alignment horizontal="left" vertical="center" wrapText="1" indent="1"/>
      <protection locked="0"/>
    </xf>
    <xf numFmtId="49" fontId="3" fillId="2" borderId="95" xfId="0" applyNumberFormat="1" applyFont="1" applyFill="1" applyBorder="1" applyAlignment="1" applyProtection="1">
      <alignment horizontal="left" vertical="center" wrapText="1" indent="1"/>
      <protection locked="0"/>
    </xf>
    <xf numFmtId="49" fontId="3" fillId="2" borderId="91" xfId="0" applyNumberFormat="1" applyFont="1" applyFill="1" applyBorder="1" applyAlignment="1" applyProtection="1">
      <alignment horizontal="left" vertical="center" wrapText="1" indent="1"/>
      <protection locked="0"/>
    </xf>
    <xf numFmtId="164" fontId="3" fillId="0" borderId="49" xfId="0" applyNumberFormat="1" applyFont="1" applyBorder="1" applyAlignment="1">
      <alignment horizontal="center" vertical="center" wrapText="1"/>
    </xf>
    <xf numFmtId="164" fontId="3" fillId="0" borderId="143" xfId="0" applyNumberFormat="1" applyFont="1" applyBorder="1" applyAlignment="1">
      <alignment horizontal="center" vertical="center" wrapText="1"/>
    </xf>
    <xf numFmtId="164" fontId="3" fillId="0" borderId="144" xfId="0" applyNumberFormat="1" applyFont="1" applyBorder="1" applyAlignment="1">
      <alignment horizontal="center" vertical="center" wrapText="1"/>
    </xf>
    <xf numFmtId="164" fontId="3" fillId="0" borderId="52" xfId="0" applyNumberFormat="1" applyFont="1" applyBorder="1" applyAlignment="1">
      <alignment horizontal="center" vertical="center" wrapText="1"/>
    </xf>
    <xf numFmtId="164" fontId="3" fillId="0" borderId="44" xfId="0" applyNumberFormat="1" applyFont="1" applyBorder="1" applyAlignment="1">
      <alignment horizontal="center" vertical="center" wrapText="1"/>
    </xf>
    <xf numFmtId="164" fontId="3" fillId="0" borderId="60" xfId="0" applyNumberFormat="1" applyFont="1" applyBorder="1" applyAlignment="1">
      <alignment horizontal="center" vertical="center" wrapText="1"/>
    </xf>
    <xf numFmtId="164" fontId="5" fillId="0" borderId="46" xfId="0" applyNumberFormat="1" applyFont="1" applyBorder="1" applyAlignment="1">
      <alignment horizontal="left" vertical="center" indent="1" shrinkToFit="1"/>
    </xf>
    <xf numFmtId="164" fontId="5" fillId="0" borderId="4" xfId="0" applyNumberFormat="1" applyFont="1" applyBorder="1" applyAlignment="1">
      <alignment horizontal="left" vertical="center" indent="1" shrinkToFit="1"/>
    </xf>
    <xf numFmtId="164" fontId="5" fillId="0" borderId="5" xfId="0" applyNumberFormat="1" applyFont="1" applyBorder="1" applyAlignment="1">
      <alignment horizontal="left" vertical="center" indent="1" shrinkToFit="1"/>
    </xf>
    <xf numFmtId="49" fontId="3" fillId="2" borderId="141" xfId="0" applyNumberFormat="1" applyFont="1" applyFill="1" applyBorder="1" applyAlignment="1" applyProtection="1">
      <alignment horizontal="center" vertical="center" wrapText="1"/>
      <protection locked="0"/>
    </xf>
    <xf numFmtId="49" fontId="3" fillId="2" borderId="93" xfId="0" applyNumberFormat="1" applyFont="1" applyFill="1" applyBorder="1" applyAlignment="1" applyProtection="1">
      <alignment horizontal="center" vertical="center" wrapText="1"/>
      <protection locked="0"/>
    </xf>
    <xf numFmtId="164" fontId="4" fillId="0" borderId="46"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4" fillId="0" borderId="5" xfId="0" applyNumberFormat="1" applyFont="1" applyBorder="1" applyAlignment="1">
      <alignment horizontal="center" vertical="center"/>
    </xf>
    <xf numFmtId="49" fontId="3" fillId="2" borderId="50" xfId="0" applyNumberFormat="1" applyFont="1" applyFill="1" applyBorder="1" applyAlignment="1" applyProtection="1">
      <alignment horizontal="left" vertical="center" wrapText="1" indent="1"/>
      <protection locked="0"/>
    </xf>
    <xf numFmtId="49" fontId="3" fillId="2" borderId="141" xfId="0" applyNumberFormat="1" applyFont="1" applyFill="1" applyBorder="1" applyAlignment="1" applyProtection="1">
      <alignment horizontal="left" vertical="center" wrapText="1" indent="1"/>
      <protection locked="0"/>
    </xf>
    <xf numFmtId="49" fontId="3" fillId="2" borderId="87" xfId="0" applyNumberFormat="1" applyFont="1" applyFill="1" applyBorder="1" applyAlignment="1" applyProtection="1">
      <alignment horizontal="left" vertical="center" wrapText="1" indent="1"/>
      <protection locked="0"/>
    </xf>
    <xf numFmtId="164" fontId="5" fillId="0" borderId="48" xfId="0" applyNumberFormat="1" applyFont="1" applyBorder="1" applyAlignment="1">
      <alignment horizontal="left" vertical="center" indent="1" shrinkToFit="1"/>
    </xf>
    <xf numFmtId="164" fontId="5" fillId="0" borderId="142" xfId="0" applyNumberFormat="1" applyFont="1" applyBorder="1" applyAlignment="1">
      <alignment horizontal="left" vertical="center" indent="1" shrinkToFit="1"/>
    </xf>
    <xf numFmtId="164" fontId="5" fillId="0" borderId="67" xfId="0" applyNumberFormat="1" applyFont="1" applyBorder="1" applyAlignment="1">
      <alignment horizontal="left" vertical="center" indent="1" shrinkToFit="1"/>
    </xf>
    <xf numFmtId="49" fontId="3" fillId="2" borderId="4" xfId="0" applyNumberFormat="1" applyFont="1" applyFill="1" applyBorder="1" applyAlignment="1" applyProtection="1">
      <alignment horizontal="center" vertical="center" wrapText="1"/>
      <protection locked="0"/>
    </xf>
    <xf numFmtId="49" fontId="3" fillId="2" borderId="5" xfId="0" applyNumberFormat="1" applyFont="1" applyFill="1" applyBorder="1" applyAlignment="1" applyProtection="1">
      <alignment horizontal="center" vertical="center" wrapText="1"/>
      <protection locked="0"/>
    </xf>
    <xf numFmtId="164" fontId="4" fillId="0" borderId="48" xfId="0" applyNumberFormat="1" applyFont="1" applyBorder="1" applyAlignment="1">
      <alignment horizontal="center" vertical="center"/>
    </xf>
    <xf numFmtId="164" fontId="4" fillId="0" borderId="142" xfId="0" applyNumberFormat="1" applyFont="1" applyBorder="1" applyAlignment="1">
      <alignment horizontal="center" vertical="center"/>
    </xf>
    <xf numFmtId="164" fontId="4" fillId="0" borderId="67" xfId="0" applyNumberFormat="1" applyFont="1" applyBorder="1" applyAlignment="1">
      <alignment horizontal="center" vertical="center"/>
    </xf>
    <xf numFmtId="49" fontId="3" fillId="2" borderId="48" xfId="0" applyNumberFormat="1" applyFont="1" applyFill="1" applyBorder="1" applyAlignment="1" applyProtection="1">
      <alignment horizontal="left" vertical="center" wrapText="1" indent="1"/>
      <protection locked="0"/>
    </xf>
    <xf numFmtId="49" fontId="3" fillId="2" borderId="142" xfId="0" applyNumberFormat="1" applyFont="1" applyFill="1" applyBorder="1" applyAlignment="1" applyProtection="1">
      <alignment horizontal="left" vertical="center" wrapText="1" indent="1"/>
      <protection locked="0"/>
    </xf>
    <xf numFmtId="49" fontId="3" fillId="2" borderId="86" xfId="0" applyNumberFormat="1" applyFont="1" applyFill="1" applyBorder="1" applyAlignment="1" applyProtection="1">
      <alignment horizontal="left" vertical="center" wrapText="1" indent="1"/>
      <protection locked="0"/>
    </xf>
    <xf numFmtId="49" fontId="73" fillId="0" borderId="0" xfId="0" applyNumberFormat="1" applyFont="1" applyAlignment="1">
      <alignment horizontal="center" vertical="center" wrapText="1"/>
    </xf>
    <xf numFmtId="164" fontId="5" fillId="0" borderId="50" xfId="0" applyNumberFormat="1" applyFont="1" applyBorder="1" applyAlignment="1">
      <alignment horizontal="left" vertical="center" indent="1" shrinkToFit="1"/>
    </xf>
    <xf numFmtId="164" fontId="5" fillId="0" borderId="141" xfId="0" applyNumberFormat="1" applyFont="1" applyBorder="1" applyAlignment="1">
      <alignment horizontal="left" vertical="center" indent="1" shrinkToFit="1"/>
    </xf>
    <xf numFmtId="164" fontId="5" fillId="0" borderId="93" xfId="0" applyNumberFormat="1" applyFont="1" applyBorder="1" applyAlignment="1">
      <alignment horizontal="left" vertical="center" indent="1" shrinkToFit="1"/>
    </xf>
    <xf numFmtId="49" fontId="3" fillId="2" borderId="46" xfId="0" applyNumberFormat="1" applyFont="1" applyFill="1" applyBorder="1" applyAlignment="1" applyProtection="1">
      <alignment horizontal="left" vertical="center" wrapText="1" indent="1"/>
      <protection locked="0"/>
    </xf>
    <xf numFmtId="49" fontId="3" fillId="2" borderId="4" xfId="0" applyNumberFormat="1" applyFont="1" applyFill="1" applyBorder="1" applyAlignment="1" applyProtection="1">
      <alignment horizontal="left" vertical="center" wrapText="1" indent="1"/>
      <protection locked="0"/>
    </xf>
    <xf numFmtId="49" fontId="3" fillId="2" borderId="100" xfId="0" applyNumberFormat="1" applyFont="1" applyFill="1" applyBorder="1" applyAlignment="1" applyProtection="1">
      <alignment horizontal="left" vertical="center" wrapText="1" indent="1"/>
      <protection locked="0"/>
    </xf>
    <xf numFmtId="164" fontId="3" fillId="0" borderId="90"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0" fontId="3" fillId="3" borderId="4" xfId="0" applyFont="1" applyFill="1" applyBorder="1" applyAlignment="1">
      <alignment horizontal="left" vertical="center" indent="1"/>
    </xf>
    <xf numFmtId="164" fontId="4" fillId="0" borderId="46"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164" fontId="4" fillId="0" borderId="5" xfId="0" applyNumberFormat="1" applyFont="1" applyBorder="1" applyAlignment="1">
      <alignment horizontal="center" vertical="center" wrapText="1"/>
    </xf>
    <xf numFmtId="164" fontId="3" fillId="0" borderId="85" xfId="0" applyNumberFormat="1" applyFont="1" applyBorder="1" applyAlignment="1">
      <alignment horizontal="center" vertical="center" wrapText="1"/>
    </xf>
    <xf numFmtId="164" fontId="3" fillId="0" borderId="142" xfId="0" applyNumberFormat="1" applyFont="1" applyBorder="1" applyAlignment="1">
      <alignment horizontal="center" vertical="center" wrapText="1"/>
    </xf>
    <xf numFmtId="164" fontId="3" fillId="0" borderId="67" xfId="0" applyNumberFormat="1" applyFont="1" applyBorder="1" applyAlignment="1">
      <alignment horizontal="center" vertical="center" wrapText="1"/>
    </xf>
    <xf numFmtId="1" fontId="3" fillId="2" borderId="140" xfId="0" applyNumberFormat="1" applyFont="1" applyFill="1" applyBorder="1" applyAlignment="1" applyProtection="1">
      <alignment horizontal="center" vertical="center"/>
      <protection locked="0"/>
    </xf>
    <xf numFmtId="1" fontId="3" fillId="2" borderId="97" xfId="0" applyNumberFormat="1" applyFont="1" applyFill="1" applyBorder="1" applyAlignment="1" applyProtection="1">
      <alignment horizontal="center" vertical="center"/>
      <protection locked="0"/>
    </xf>
    <xf numFmtId="164" fontId="4" fillId="0" borderId="48" xfId="0" applyNumberFormat="1" applyFont="1" applyBorder="1" applyAlignment="1">
      <alignment horizontal="center" vertical="center" wrapText="1"/>
    </xf>
    <xf numFmtId="164" fontId="4" fillId="0" borderId="142" xfId="0" applyNumberFormat="1" applyFont="1" applyBorder="1" applyAlignment="1">
      <alignment horizontal="center" vertical="center" wrapText="1"/>
    </xf>
    <xf numFmtId="164" fontId="4" fillId="0" borderId="67" xfId="0" applyNumberFormat="1" applyFont="1" applyBorder="1" applyAlignment="1">
      <alignment horizontal="center" vertical="center" wrapText="1"/>
    </xf>
    <xf numFmtId="164" fontId="3" fillId="0" borderId="78" xfId="0" applyNumberFormat="1" applyFont="1" applyBorder="1" applyAlignment="1">
      <alignment horizontal="center" vertical="center" wrapText="1"/>
    </xf>
    <xf numFmtId="164" fontId="3" fillId="0" borderId="141" xfId="0" applyNumberFormat="1" applyFont="1" applyBorder="1" applyAlignment="1">
      <alignment horizontal="center" vertical="center" wrapText="1"/>
    </xf>
    <xf numFmtId="164" fontId="3" fillId="0" borderId="93" xfId="0" applyNumberFormat="1" applyFont="1" applyBorder="1" applyAlignment="1">
      <alignment horizontal="center" vertical="center" wrapText="1"/>
    </xf>
    <xf numFmtId="0" fontId="3" fillId="3" borderId="141" xfId="0" applyFont="1" applyFill="1" applyBorder="1" applyAlignment="1">
      <alignment horizontal="left" vertical="center" indent="1"/>
    </xf>
    <xf numFmtId="164" fontId="4" fillId="0" borderId="50" xfId="0" applyNumberFormat="1" applyFont="1" applyBorder="1" applyAlignment="1">
      <alignment horizontal="center" vertical="center" shrinkToFit="1"/>
    </xf>
    <xf numFmtId="164" fontId="4" fillId="0" borderId="141" xfId="0" applyNumberFormat="1" applyFont="1" applyBorder="1" applyAlignment="1">
      <alignment horizontal="center" vertical="center" shrinkToFit="1"/>
    </xf>
    <xf numFmtId="173" fontId="2" fillId="2" borderId="50" xfId="0" applyNumberFormat="1" applyFont="1" applyFill="1" applyBorder="1" applyAlignment="1" applyProtection="1">
      <alignment horizontal="center" vertical="center"/>
      <protection locked="0"/>
    </xf>
    <xf numFmtId="173" fontId="2" fillId="2" borderId="141" xfId="0" applyNumberFormat="1" applyFont="1" applyFill="1" applyBorder="1" applyAlignment="1" applyProtection="1">
      <alignment horizontal="center" vertical="center"/>
      <protection locked="0"/>
    </xf>
    <xf numFmtId="164" fontId="4" fillId="0" borderId="141" xfId="0" applyNumberFormat="1" applyFont="1" applyBorder="1" applyAlignment="1">
      <alignment horizontal="left" vertical="center" indent="1"/>
    </xf>
    <xf numFmtId="164" fontId="4" fillId="0" borderId="87" xfId="0" applyNumberFormat="1" applyFont="1" applyBorder="1" applyAlignment="1">
      <alignment horizontal="left" vertical="center" indent="1"/>
    </xf>
    <xf numFmtId="164" fontId="3" fillId="0" borderId="31" xfId="0" applyNumberFormat="1" applyFont="1" applyBorder="1" applyAlignment="1">
      <alignment horizontal="center" vertical="center" wrapText="1"/>
    </xf>
    <xf numFmtId="164" fontId="3" fillId="0" borderId="79" xfId="0" applyNumberFormat="1" applyFont="1" applyBorder="1" applyAlignment="1">
      <alignment horizontal="center" vertical="center" wrapText="1"/>
    </xf>
    <xf numFmtId="164" fontId="3" fillId="0" borderId="59" xfId="0" applyNumberFormat="1" applyFont="1" applyBorder="1" applyAlignment="1">
      <alignment horizontal="center" vertical="center" wrapText="1"/>
    </xf>
    <xf numFmtId="49" fontId="3" fillId="2" borderId="51" xfId="0" applyNumberFormat="1" applyFont="1" applyFill="1" applyBorder="1" applyAlignment="1" applyProtection="1">
      <alignment horizontal="left" vertical="center" indent="1"/>
      <protection locked="0"/>
    </xf>
    <xf numFmtId="49" fontId="3" fillId="2" borderId="79" xfId="0" applyNumberFormat="1" applyFont="1" applyFill="1" applyBorder="1" applyAlignment="1" applyProtection="1">
      <alignment horizontal="left" vertical="center" indent="1"/>
      <protection locked="0"/>
    </xf>
    <xf numFmtId="49" fontId="3" fillId="2" borderId="59" xfId="0" applyNumberFormat="1" applyFont="1" applyFill="1" applyBorder="1" applyAlignment="1" applyProtection="1">
      <alignment horizontal="left" vertical="center" indent="1"/>
      <protection locked="0"/>
    </xf>
    <xf numFmtId="164" fontId="3" fillId="0" borderId="51" xfId="0" applyNumberFormat="1" applyFont="1" applyBorder="1" applyAlignment="1">
      <alignment horizontal="center" vertical="center" wrapText="1"/>
    </xf>
    <xf numFmtId="49" fontId="3" fillId="2" borderId="51" xfId="0" applyNumberFormat="1" applyFont="1" applyFill="1" applyBorder="1" applyAlignment="1" applyProtection="1">
      <alignment horizontal="left" vertical="center" wrapText="1" indent="1"/>
      <protection locked="0"/>
    </xf>
    <xf numFmtId="49" fontId="3" fillId="2" borderId="79" xfId="0" applyNumberFormat="1" applyFont="1" applyFill="1" applyBorder="1" applyAlignment="1" applyProtection="1">
      <alignment horizontal="left" vertical="center" wrapText="1" indent="1"/>
      <protection locked="0"/>
    </xf>
    <xf numFmtId="49" fontId="3" fillId="2" borderId="84" xfId="0" applyNumberFormat="1" applyFont="1" applyFill="1" applyBorder="1" applyAlignment="1" applyProtection="1">
      <alignment horizontal="left" vertical="center" wrapText="1" indent="1"/>
      <protection locked="0"/>
    </xf>
    <xf numFmtId="164" fontId="5" fillId="3" borderId="51" xfId="0" applyNumberFormat="1" applyFont="1" applyFill="1" applyBorder="1" applyAlignment="1">
      <alignment horizontal="left" vertical="center" shrinkToFit="1"/>
    </xf>
    <xf numFmtId="164" fontId="5" fillId="3" borderId="79" xfId="0" applyNumberFormat="1" applyFont="1" applyFill="1" applyBorder="1" applyAlignment="1">
      <alignment horizontal="left" vertical="center" shrinkToFit="1"/>
    </xf>
    <xf numFmtId="49" fontId="3" fillId="2" borderId="79" xfId="0" applyNumberFormat="1" applyFont="1" applyFill="1" applyBorder="1" applyAlignment="1" applyProtection="1">
      <alignment horizontal="left" vertical="center" wrapText="1"/>
      <protection locked="0"/>
    </xf>
    <xf numFmtId="49" fontId="3" fillId="2" borderId="84" xfId="0" applyNumberFormat="1" applyFont="1" applyFill="1" applyBorder="1" applyAlignment="1" applyProtection="1">
      <alignment horizontal="left" vertical="center" wrapText="1"/>
      <protection locked="0"/>
    </xf>
    <xf numFmtId="49" fontId="72" fillId="2" borderId="79" xfId="0" applyNumberFormat="1" applyFont="1" applyFill="1" applyBorder="1" applyAlignment="1" applyProtection="1">
      <alignment horizontal="left" vertical="center" wrapText="1"/>
      <protection locked="0"/>
    </xf>
    <xf numFmtId="164" fontId="4" fillId="0" borderId="31" xfId="0" applyNumberFormat="1" applyFont="1" applyBorder="1" applyAlignment="1">
      <alignment horizontal="center" vertical="center"/>
    </xf>
    <xf numFmtId="164" fontId="4" fillId="0" borderId="79" xfId="0" applyNumberFormat="1" applyFont="1" applyBorder="1" applyAlignment="1">
      <alignment horizontal="center" vertical="center"/>
    </xf>
    <xf numFmtId="164" fontId="4" fillId="0" borderId="59" xfId="0" applyNumberFormat="1" applyFont="1" applyBorder="1" applyAlignment="1">
      <alignment horizontal="center" vertical="center"/>
    </xf>
    <xf numFmtId="164" fontId="3" fillId="0" borderId="79" xfId="0" applyNumberFormat="1" applyFont="1" applyBorder="1" applyAlignment="1">
      <alignment horizontal="center" vertical="center"/>
    </xf>
    <xf numFmtId="1" fontId="3" fillId="2" borderId="79" xfId="0" applyNumberFormat="1" applyFont="1" applyFill="1" applyBorder="1" applyAlignment="1" applyProtection="1">
      <alignment horizontal="left" vertical="center" wrapText="1" indent="1"/>
      <protection locked="0"/>
    </xf>
    <xf numFmtId="1" fontId="3" fillId="2" borderId="59" xfId="0" applyNumberFormat="1" applyFont="1" applyFill="1" applyBorder="1" applyAlignment="1" applyProtection="1">
      <alignment horizontal="left" vertical="center" wrapText="1" indent="1"/>
      <protection locked="0"/>
    </xf>
    <xf numFmtId="164" fontId="4" fillId="0" borderId="1" xfId="0" applyNumberFormat="1" applyFont="1" applyBorder="1" applyAlignment="1">
      <alignment horizontal="center" vertical="center" wrapText="1"/>
    </xf>
    <xf numFmtId="0" fontId="2" fillId="2" borderId="79" xfId="0" applyFont="1" applyFill="1" applyBorder="1" applyAlignment="1" applyProtection="1">
      <alignment horizontal="left" vertical="center" indent="1"/>
      <protection locked="0"/>
    </xf>
    <xf numFmtId="0" fontId="2" fillId="2" borderId="84" xfId="0" applyFont="1" applyFill="1" applyBorder="1" applyAlignment="1" applyProtection="1">
      <alignment horizontal="left" vertical="center" indent="1"/>
      <protection locked="0"/>
    </xf>
    <xf numFmtId="164" fontId="3" fillId="3" borderId="139" xfId="0" applyNumberFormat="1" applyFont="1" applyFill="1" applyBorder="1" applyAlignment="1">
      <alignment horizontal="center" vertical="center" wrapText="1"/>
    </xf>
    <xf numFmtId="164" fontId="3" fillId="3" borderId="104" xfId="0" applyNumberFormat="1" applyFont="1" applyFill="1" applyBorder="1" applyAlignment="1">
      <alignment horizontal="center" vertical="center" wrapText="1"/>
    </xf>
    <xf numFmtId="164" fontId="3" fillId="3" borderId="96" xfId="0" applyNumberFormat="1" applyFont="1" applyFill="1" applyBorder="1" applyAlignment="1">
      <alignment horizontal="center" vertical="center" wrapText="1"/>
    </xf>
    <xf numFmtId="164" fontId="3" fillId="3" borderId="90" xfId="0" applyNumberFormat="1" applyFont="1" applyFill="1" applyBorder="1" applyAlignment="1">
      <alignment horizontal="center" vertical="center" wrapText="1"/>
    </xf>
    <xf numFmtId="164" fontId="3" fillId="3" borderId="4" xfId="0" applyNumberFormat="1" applyFont="1" applyFill="1" applyBorder="1" applyAlignment="1">
      <alignment horizontal="center" vertical="center" wrapText="1"/>
    </xf>
    <xf numFmtId="164" fontId="3" fillId="3" borderId="5" xfId="0" applyNumberFormat="1" applyFont="1" applyFill="1" applyBorder="1" applyAlignment="1">
      <alignment horizontal="center" vertical="center" wrapText="1"/>
    </xf>
    <xf numFmtId="0" fontId="55" fillId="0" borderId="4" xfId="0" applyFont="1" applyBorder="1" applyAlignment="1" applyProtection="1">
      <alignment horizontal="left" indent="1"/>
      <protection locked="0"/>
    </xf>
    <xf numFmtId="0" fontId="55" fillId="0" borderId="4" xfId="0" applyFont="1" applyBorder="1" applyAlignment="1">
      <alignment horizontal="left" indent="1"/>
    </xf>
    <xf numFmtId="164" fontId="3" fillId="0" borderId="1" xfId="0" applyNumberFormat="1" applyFont="1" applyBorder="1" applyAlignment="1">
      <alignment horizontal="center" vertical="center"/>
    </xf>
    <xf numFmtId="49" fontId="3" fillId="2" borderId="1" xfId="0" applyNumberFormat="1" applyFont="1" applyFill="1" applyBorder="1" applyAlignment="1" applyProtection="1">
      <alignment horizontal="left" vertical="center" indent="1"/>
      <protection locked="0"/>
    </xf>
    <xf numFmtId="49" fontId="3" fillId="2" borderId="17" xfId="0" applyNumberFormat="1" applyFont="1" applyFill="1" applyBorder="1" applyAlignment="1" applyProtection="1">
      <alignment horizontal="left" vertical="center" indent="1"/>
      <protection locked="0"/>
    </xf>
    <xf numFmtId="167" fontId="94" fillId="2" borderId="104" xfId="0" applyNumberFormat="1" applyFont="1" applyFill="1" applyBorder="1" applyAlignment="1" applyProtection="1">
      <alignment horizontal="left" vertical="center" indent="1"/>
      <protection locked="0"/>
    </xf>
    <xf numFmtId="167" fontId="3" fillId="2" borderId="104" xfId="0" applyNumberFormat="1" applyFont="1" applyFill="1" applyBorder="1" applyAlignment="1" applyProtection="1">
      <alignment horizontal="left" vertical="center" indent="1"/>
      <protection locked="0"/>
    </xf>
    <xf numFmtId="164" fontId="3" fillId="3" borderId="51" xfId="0" applyNumberFormat="1" applyFont="1" applyFill="1" applyBorder="1" applyAlignment="1">
      <alignment horizontal="left" vertical="center" wrapText="1" indent="1"/>
    </xf>
    <xf numFmtId="164" fontId="3" fillId="3" borderId="79" xfId="0" applyNumberFormat="1" applyFont="1" applyFill="1" applyBorder="1" applyAlignment="1">
      <alignment horizontal="left" vertical="center" wrapText="1" indent="1"/>
    </xf>
    <xf numFmtId="164" fontId="3" fillId="3" borderId="59" xfId="0" applyNumberFormat="1" applyFont="1" applyFill="1" applyBorder="1" applyAlignment="1">
      <alignment horizontal="left" vertical="center" wrapText="1" indent="1"/>
    </xf>
    <xf numFmtId="164" fontId="3" fillId="0" borderId="29" xfId="0" applyNumberFormat="1" applyFont="1" applyBorder="1" applyAlignment="1">
      <alignment horizontal="center" vertical="center" shrinkToFit="1"/>
    </xf>
    <xf numFmtId="164" fontId="3" fillId="0" borderId="138" xfId="0" applyNumberFormat="1" applyFont="1" applyBorder="1" applyAlignment="1">
      <alignment horizontal="center" vertical="center" shrinkToFit="1"/>
    </xf>
    <xf numFmtId="49" fontId="51" fillId="2" borderId="101" xfId="0" applyNumberFormat="1" applyFont="1" applyFill="1" applyBorder="1" applyAlignment="1" applyProtection="1">
      <alignment horizontal="left" vertical="center" indent="1" shrinkToFit="1"/>
      <protection locked="0"/>
    </xf>
    <xf numFmtId="49" fontId="3" fillId="2" borderId="138" xfId="0" applyNumberFormat="1" applyFont="1" applyFill="1" applyBorder="1" applyAlignment="1" applyProtection="1">
      <alignment horizontal="left" vertical="center" indent="1" shrinkToFit="1"/>
      <protection locked="0"/>
    </xf>
    <xf numFmtId="164" fontId="3" fillId="0" borderId="151" xfId="0" applyNumberFormat="1" applyFont="1" applyBorder="1" applyAlignment="1">
      <alignment horizontal="center" vertical="center"/>
    </xf>
    <xf numFmtId="164" fontId="3" fillId="0" borderId="27" xfId="0" applyNumberFormat="1" applyFont="1" applyBorder="1" applyAlignment="1">
      <alignment horizontal="center" vertical="center"/>
    </xf>
    <xf numFmtId="164" fontId="3" fillId="0" borderId="152" xfId="0" applyNumberFormat="1" applyFont="1" applyBorder="1" applyAlignment="1">
      <alignment horizontal="center" vertical="center"/>
    </xf>
    <xf numFmtId="49" fontId="2" fillId="2" borderId="151" xfId="0" applyNumberFormat="1" applyFont="1" applyFill="1" applyBorder="1" applyAlignment="1" applyProtection="1">
      <alignment horizontal="center" vertical="center" wrapText="1" shrinkToFit="1"/>
      <protection locked="0"/>
    </xf>
    <xf numFmtId="49" fontId="2" fillId="2" borderId="27" xfId="0" applyNumberFormat="1" applyFont="1" applyFill="1" applyBorder="1" applyAlignment="1" applyProtection="1">
      <alignment horizontal="center" vertical="center" wrapText="1" shrinkToFit="1"/>
      <protection locked="0"/>
    </xf>
    <xf numFmtId="49" fontId="2" fillId="2" borderId="56" xfId="0" applyNumberFormat="1" applyFont="1" applyFill="1" applyBorder="1" applyAlignment="1" applyProtection="1">
      <alignment horizontal="center" vertical="center" wrapText="1" shrinkToFit="1"/>
      <protection locked="0"/>
    </xf>
    <xf numFmtId="49" fontId="3" fillId="2" borderId="59" xfId="0" applyNumberFormat="1" applyFont="1" applyFill="1" applyBorder="1" applyAlignment="1" applyProtection="1">
      <alignment horizontal="left" vertical="center" indent="1" shrinkToFit="1"/>
      <protection locked="0"/>
    </xf>
    <xf numFmtId="0" fontId="55" fillId="2" borderId="51" xfId="0" applyFont="1" applyFill="1" applyBorder="1" applyAlignment="1" applyProtection="1">
      <alignment horizontal="center"/>
      <protection locked="0"/>
    </xf>
    <xf numFmtId="0" fontId="55" fillId="2" borderId="79" xfId="0" applyFont="1" applyFill="1" applyBorder="1" applyAlignment="1" applyProtection="1">
      <alignment horizontal="center"/>
      <protection locked="0"/>
    </xf>
    <xf numFmtId="164" fontId="55" fillId="0" borderId="51" xfId="0" applyNumberFormat="1" applyFont="1" applyBorder="1" applyAlignment="1">
      <alignment horizontal="center" vertical="center"/>
    </xf>
    <xf numFmtId="164" fontId="55" fillId="0" borderId="79" xfId="0" applyNumberFormat="1" applyFont="1" applyBorder="1" applyAlignment="1">
      <alignment horizontal="center" vertical="center"/>
    </xf>
    <xf numFmtId="164" fontId="55" fillId="0" borderId="59" xfId="0" applyNumberFormat="1" applyFont="1" applyBorder="1" applyAlignment="1">
      <alignment horizontal="center" vertical="center"/>
    </xf>
    <xf numFmtId="49" fontId="50" fillId="2" borderId="51" xfId="0" applyNumberFormat="1" applyFont="1" applyFill="1" applyBorder="1" applyAlignment="1" applyProtection="1">
      <alignment horizontal="left" vertical="center"/>
      <protection locked="0"/>
    </xf>
    <xf numFmtId="49" fontId="50" fillId="2" borderId="79" xfId="0" applyNumberFormat="1" applyFont="1" applyFill="1" applyBorder="1" applyAlignment="1" applyProtection="1">
      <alignment horizontal="left" vertical="center"/>
      <protection locked="0"/>
    </xf>
    <xf numFmtId="49" fontId="50" fillId="2" borderId="84" xfId="0" applyNumberFormat="1" applyFont="1" applyFill="1" applyBorder="1" applyAlignment="1" applyProtection="1">
      <alignment horizontal="left" vertical="center"/>
      <protection locked="0"/>
    </xf>
    <xf numFmtId="49" fontId="2" fillId="3" borderId="0" xfId="0" applyNumberFormat="1" applyFont="1" applyFill="1" applyAlignment="1">
      <alignment horizontal="center" vertical="center"/>
    </xf>
    <xf numFmtId="164" fontId="70" fillId="3" borderId="0" xfId="0" applyNumberFormat="1" applyFont="1" applyFill="1" applyAlignment="1">
      <alignment horizontal="left" vertical="center" indent="1"/>
    </xf>
    <xf numFmtId="164" fontId="2" fillId="3" borderId="0" xfId="0" applyNumberFormat="1" applyFont="1" applyFill="1" applyAlignment="1">
      <alignment horizontal="right" vertical="center" indent="1"/>
    </xf>
    <xf numFmtId="164" fontId="2" fillId="3" borderId="150" xfId="0" applyNumberFormat="1" applyFont="1" applyFill="1" applyBorder="1" applyAlignment="1">
      <alignment horizontal="right" vertical="center" indent="1"/>
    </xf>
    <xf numFmtId="167" fontId="2" fillId="13" borderId="6" xfId="0" applyNumberFormat="1" applyFont="1" applyFill="1" applyBorder="1" applyAlignment="1" applyProtection="1">
      <alignment horizontal="center" vertical="center"/>
      <protection locked="0"/>
    </xf>
    <xf numFmtId="167" fontId="2" fillId="13" borderId="7" xfId="0" applyNumberFormat="1" applyFont="1" applyFill="1" applyBorder="1" applyAlignment="1" applyProtection="1">
      <alignment horizontal="center" vertical="center"/>
      <protection locked="0"/>
    </xf>
    <xf numFmtId="167" fontId="2" fillId="13" borderId="14" xfId="0" applyNumberFormat="1" applyFont="1" applyFill="1" applyBorder="1" applyAlignment="1" applyProtection="1">
      <alignment horizontal="center" vertical="center"/>
      <protection locked="0"/>
    </xf>
    <xf numFmtId="49" fontId="2" fillId="0" borderId="45"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50" xfId="0" applyNumberFormat="1" applyFont="1" applyBorder="1" applyAlignment="1">
      <alignment horizontal="center" vertical="center"/>
    </xf>
    <xf numFmtId="49" fontId="7" fillId="13" borderId="6" xfId="0" applyNumberFormat="1" applyFont="1" applyFill="1" applyBorder="1" applyAlignment="1" applyProtection="1">
      <alignment horizontal="center" vertical="center"/>
      <protection locked="0"/>
    </xf>
    <xf numFmtId="49" fontId="7" fillId="13" borderId="7" xfId="0" applyNumberFormat="1" applyFont="1" applyFill="1" applyBorder="1" applyAlignment="1" applyProtection="1">
      <alignment horizontal="center" vertical="center"/>
      <protection locked="0"/>
    </xf>
    <xf numFmtId="49" fontId="7" fillId="13" borderId="14" xfId="0" applyNumberFormat="1" applyFont="1" applyFill="1" applyBorder="1" applyAlignment="1" applyProtection="1">
      <alignment horizontal="center" vertical="center"/>
      <protection locked="0"/>
    </xf>
    <xf numFmtId="49" fontId="71" fillId="3" borderId="44" xfId="0" applyNumberFormat="1" applyFont="1" applyFill="1" applyBorder="1" applyAlignment="1">
      <alignment horizontal="center" vertical="center"/>
    </xf>
    <xf numFmtId="49" fontId="5" fillId="3" borderId="44" xfId="0" applyNumberFormat="1" applyFont="1" applyFill="1" applyBorder="1" applyAlignment="1">
      <alignment horizontal="center" vertical="center"/>
    </xf>
    <xf numFmtId="166" fontId="3" fillId="0" borderId="104" xfId="0" applyNumberFormat="1" applyFont="1" applyBorder="1" applyAlignment="1">
      <alignment horizontal="left" vertical="center" wrapText="1"/>
    </xf>
    <xf numFmtId="166" fontId="3" fillId="0" borderId="96" xfId="0" applyNumberFormat="1" applyFont="1" applyBorder="1" applyAlignment="1">
      <alignment horizontal="left" vertical="center" wrapText="1"/>
    </xf>
    <xf numFmtId="166" fontId="3" fillId="0" borderId="4" xfId="0" applyNumberFormat="1" applyFont="1" applyBorder="1" applyAlignment="1">
      <alignment horizontal="left" vertical="center" wrapText="1"/>
    </xf>
    <xf numFmtId="166" fontId="3" fillId="0" borderId="5" xfId="0" applyNumberFormat="1" applyFont="1" applyBorder="1" applyAlignment="1">
      <alignment horizontal="left" vertical="center" wrapText="1"/>
    </xf>
    <xf numFmtId="166" fontId="10" fillId="0" borderId="104" xfId="0" applyNumberFormat="1" applyFont="1" applyBorder="1" applyAlignment="1">
      <alignment horizontal="right" vertical="center"/>
    </xf>
    <xf numFmtId="166" fontId="10" fillId="0" borderId="4" xfId="0" applyNumberFormat="1" applyFont="1" applyBorder="1" applyAlignment="1">
      <alignment horizontal="right" vertical="center"/>
    </xf>
    <xf numFmtId="166" fontId="3" fillId="0" borderId="111" xfId="0" applyNumberFormat="1" applyFont="1" applyBorder="1" applyAlignment="1">
      <alignment horizontal="center" wrapText="1"/>
    </xf>
    <xf numFmtId="166" fontId="3" fillId="0" borderId="107" xfId="0" applyNumberFormat="1" applyFont="1" applyBorder="1" applyAlignment="1">
      <alignment horizontal="center" wrapText="1"/>
    </xf>
    <xf numFmtId="166" fontId="3" fillId="0" borderId="0" xfId="0" applyNumberFormat="1" applyFont="1" applyAlignment="1">
      <alignment horizontal="left" vertical="center" wrapText="1"/>
    </xf>
    <xf numFmtId="166" fontId="3" fillId="0" borderId="0" xfId="0" applyNumberFormat="1" applyFont="1" applyAlignment="1">
      <alignment horizontal="center" wrapText="1"/>
    </xf>
    <xf numFmtId="166" fontId="3" fillId="0" borderId="103" xfId="0" applyNumberFormat="1" applyFont="1" applyBorder="1" applyAlignment="1">
      <alignment horizontal="left" wrapText="1"/>
    </xf>
    <xf numFmtId="166" fontId="3" fillId="0" borderId="104" xfId="0" applyNumberFormat="1" applyFont="1" applyBorder="1" applyAlignment="1">
      <alignment horizontal="left" wrapText="1"/>
    </xf>
    <xf numFmtId="166" fontId="3" fillId="0" borderId="46" xfId="0" applyNumberFormat="1" applyFont="1" applyBorder="1" applyAlignment="1">
      <alignment horizontal="left" wrapText="1"/>
    </xf>
    <xf numFmtId="166" fontId="3" fillId="0" borderId="4" xfId="0" applyNumberFormat="1" applyFont="1" applyBorder="1" applyAlignment="1">
      <alignment horizontal="left" wrapText="1"/>
    </xf>
    <xf numFmtId="166" fontId="10" fillId="0" borderId="0" xfId="0" applyNumberFormat="1" applyFont="1" applyAlignment="1">
      <alignment horizontal="right" vertical="center"/>
    </xf>
    <xf numFmtId="166" fontId="3" fillId="0" borderId="111" xfId="0" applyNumberFormat="1" applyFont="1" applyBorder="1" applyAlignment="1">
      <alignment horizontal="left"/>
    </xf>
    <xf numFmtId="166" fontId="3" fillId="0" borderId="107" xfId="0" applyNumberFormat="1" applyFont="1" applyBorder="1" applyAlignment="1">
      <alignment horizontal="left"/>
    </xf>
    <xf numFmtId="166" fontId="3" fillId="0" borderId="0" xfId="0" applyNumberFormat="1" applyFont="1" applyAlignment="1">
      <alignment horizontal="right" wrapText="1"/>
    </xf>
    <xf numFmtId="166" fontId="55" fillId="0" borderId="104" xfId="0" applyNumberFormat="1" applyFont="1" applyBorder="1" applyAlignment="1">
      <alignment horizontal="left" vertical="center" wrapText="1"/>
    </xf>
    <xf numFmtId="166" fontId="55" fillId="0" borderId="4" xfId="0" applyNumberFormat="1" applyFont="1" applyBorder="1" applyAlignment="1">
      <alignment horizontal="left" vertical="center" wrapText="1"/>
    </xf>
    <xf numFmtId="166" fontId="3" fillId="0" borderId="0" xfId="0" applyNumberFormat="1" applyFont="1" applyAlignment="1">
      <alignment horizontal="center" vertical="center"/>
    </xf>
    <xf numFmtId="166" fontId="2" fillId="0" borderId="0" xfId="0" applyNumberFormat="1" applyFont="1" applyAlignment="1">
      <alignment horizontal="center" vertical="center"/>
    </xf>
    <xf numFmtId="166" fontId="3" fillId="0" borderId="103" xfId="0" applyNumberFormat="1" applyFont="1" applyBorder="1" applyAlignment="1">
      <alignment horizontal="left" vertical="center" wrapText="1"/>
    </xf>
    <xf numFmtId="166" fontId="3" fillId="0" borderId="76" xfId="0" applyNumberFormat="1" applyFont="1" applyBorder="1" applyAlignment="1">
      <alignment horizontal="left" vertical="center" wrapText="1"/>
    </xf>
    <xf numFmtId="166" fontId="3" fillId="0" borderId="2" xfId="0" applyNumberFormat="1" applyFont="1" applyBorder="1" applyAlignment="1">
      <alignment horizontal="left" vertical="center" wrapText="1"/>
    </xf>
    <xf numFmtId="166" fontId="3" fillId="0" borderId="46" xfId="0" applyNumberFormat="1" applyFont="1" applyBorder="1" applyAlignment="1">
      <alignment horizontal="left" vertical="center" wrapText="1"/>
    </xf>
    <xf numFmtId="166" fontId="3" fillId="3" borderId="0" xfId="0" applyNumberFormat="1" applyFont="1" applyFill="1" applyAlignment="1">
      <alignment horizontal="left" vertical="top" wrapText="1"/>
    </xf>
    <xf numFmtId="166" fontId="2" fillId="3" borderId="111" xfId="0" applyNumberFormat="1" applyFont="1" applyFill="1" applyBorder="1" applyAlignment="1">
      <alignment horizontal="center" vertical="center"/>
    </xf>
    <xf numFmtId="166" fontId="2" fillId="3" borderId="120" xfId="0" applyNumberFormat="1" applyFont="1" applyFill="1" applyBorder="1" applyAlignment="1">
      <alignment horizontal="center" vertical="center"/>
    </xf>
    <xf numFmtId="166" fontId="2" fillId="3" borderId="4" xfId="0" applyNumberFormat="1" applyFont="1" applyFill="1" applyBorder="1" applyAlignment="1">
      <alignment horizontal="center" vertical="center"/>
    </xf>
    <xf numFmtId="166" fontId="2" fillId="3" borderId="5" xfId="0" applyNumberFormat="1" applyFont="1" applyFill="1" applyBorder="1" applyAlignment="1">
      <alignment horizontal="center" vertical="center"/>
    </xf>
    <xf numFmtId="166" fontId="57" fillId="3" borderId="110" xfId="0" applyNumberFormat="1" applyFont="1" applyFill="1" applyBorder="1" applyAlignment="1">
      <alignment horizontal="right" vertical="center"/>
    </xf>
    <xf numFmtId="166" fontId="57" fillId="3" borderId="111" xfId="0" applyNumberFormat="1" applyFont="1" applyFill="1" applyBorder="1" applyAlignment="1">
      <alignment horizontal="right" vertical="center"/>
    </xf>
    <xf numFmtId="166" fontId="57" fillId="3" borderId="113" xfId="0" applyNumberFormat="1" applyFont="1" applyFill="1" applyBorder="1" applyAlignment="1">
      <alignment horizontal="right" vertical="center"/>
    </xf>
    <xf numFmtId="166" fontId="57" fillId="3" borderId="4" xfId="0" applyNumberFormat="1" applyFont="1" applyFill="1" applyBorder="1" applyAlignment="1">
      <alignment horizontal="right" vertical="center"/>
    </xf>
    <xf numFmtId="166" fontId="61" fillId="3" borderId="0" xfId="0" applyNumberFormat="1" applyFont="1" applyFill="1" applyAlignment="1">
      <alignment horizontal="center" vertical="center"/>
    </xf>
    <xf numFmtId="165" fontId="3" fillId="3" borderId="0" xfId="0" applyNumberFormat="1" applyFont="1" applyFill="1" applyAlignment="1">
      <alignment horizontal="center"/>
    </xf>
    <xf numFmtId="165" fontId="3" fillId="3" borderId="107" xfId="0" applyNumberFormat="1" applyFont="1" applyFill="1" applyBorder="1" applyAlignment="1">
      <alignment horizontal="center"/>
    </xf>
    <xf numFmtId="166" fontId="54" fillId="3" borderId="0" xfId="0" applyNumberFormat="1" applyFont="1" applyFill="1" applyAlignment="1">
      <alignment horizontal="center" vertical="center"/>
    </xf>
    <xf numFmtId="166" fontId="4" fillId="3" borderId="0" xfId="0" applyNumberFormat="1" applyFont="1" applyFill="1" applyAlignment="1">
      <alignment horizontal="left" vertical="top" wrapText="1" readingOrder="1"/>
    </xf>
    <xf numFmtId="166" fontId="3" fillId="3" borderId="0" xfId="0" applyNumberFormat="1" applyFont="1" applyFill="1" applyAlignment="1">
      <alignment horizontal="left" vertical="top" wrapText="1" readingOrder="1"/>
    </xf>
    <xf numFmtId="166" fontId="3" fillId="3" borderId="0" xfId="0" applyNumberFormat="1" applyFont="1" applyFill="1" applyAlignment="1">
      <alignment horizontal="left"/>
    </xf>
    <xf numFmtId="170" fontId="2" fillId="3" borderId="110" xfId="0" applyNumberFormat="1" applyFont="1" applyFill="1" applyBorder="1" applyAlignment="1">
      <alignment horizontal="left" vertical="center" indent="1"/>
    </xf>
    <xf numFmtId="170" fontId="2" fillId="3" borderId="111" xfId="0" applyNumberFormat="1" applyFont="1" applyFill="1" applyBorder="1" applyAlignment="1">
      <alignment horizontal="left" vertical="center" indent="1"/>
    </xf>
    <xf numFmtId="170" fontId="2" fillId="3" borderId="115" xfId="0" applyNumberFormat="1" applyFont="1" applyFill="1" applyBorder="1" applyAlignment="1">
      <alignment horizontal="left" vertical="center" indent="1"/>
    </xf>
    <xf numFmtId="170" fontId="2" fillId="3" borderId="113" xfId="0" applyNumberFormat="1" applyFont="1" applyFill="1" applyBorder="1" applyAlignment="1">
      <alignment horizontal="left" vertical="center" indent="1"/>
    </xf>
    <xf numFmtId="170" fontId="2" fillId="3" borderId="4" xfId="0" applyNumberFormat="1" applyFont="1" applyFill="1" applyBorder="1" applyAlignment="1">
      <alignment horizontal="left" vertical="center" indent="1"/>
    </xf>
    <xf numFmtId="170" fontId="2" fillId="3" borderId="117" xfId="0" applyNumberFormat="1" applyFont="1" applyFill="1" applyBorder="1" applyAlignment="1">
      <alignment horizontal="left" vertical="center" indent="1"/>
    </xf>
    <xf numFmtId="166" fontId="3" fillId="3" borderId="103" xfId="0" applyNumberFormat="1" applyFont="1" applyFill="1" applyBorder="1" applyAlignment="1">
      <alignment horizontal="left" vertical="center" wrapText="1"/>
    </xf>
    <xf numFmtId="166" fontId="3" fillId="3" borderId="104" xfId="0" applyNumberFormat="1" applyFont="1" applyFill="1" applyBorder="1" applyAlignment="1">
      <alignment horizontal="left" vertical="center" wrapText="1"/>
    </xf>
    <xf numFmtId="166" fontId="3" fillId="3" borderId="96" xfId="0" applyNumberFormat="1" applyFont="1" applyFill="1" applyBorder="1" applyAlignment="1">
      <alignment horizontal="left" vertical="center" wrapText="1"/>
    </xf>
    <xf numFmtId="166" fontId="3" fillId="3" borderId="76" xfId="0" applyNumberFormat="1" applyFont="1" applyFill="1" applyBorder="1" applyAlignment="1">
      <alignment horizontal="left" vertical="center" wrapText="1"/>
    </xf>
    <xf numFmtId="166" fontId="3" fillId="3" borderId="0" xfId="0" applyNumberFormat="1" applyFont="1" applyFill="1" applyAlignment="1">
      <alignment horizontal="left" vertical="center" wrapText="1"/>
    </xf>
    <xf numFmtId="166" fontId="3" fillId="3" borderId="2" xfId="0" applyNumberFormat="1" applyFont="1" applyFill="1" applyBorder="1" applyAlignment="1">
      <alignment horizontal="left" vertical="center" wrapText="1"/>
    </xf>
    <xf numFmtId="166" fontId="3" fillId="3" borderId="46" xfId="0" applyNumberFormat="1" applyFont="1" applyFill="1" applyBorder="1" applyAlignment="1">
      <alignment horizontal="left" vertical="center" wrapText="1"/>
    </xf>
    <xf numFmtId="166" fontId="3" fillId="3" borderId="4" xfId="0" applyNumberFormat="1" applyFont="1" applyFill="1" applyBorder="1" applyAlignment="1">
      <alignment horizontal="left" vertical="center" wrapText="1"/>
    </xf>
    <xf numFmtId="166" fontId="3" fillId="3" borderId="5" xfId="0" applyNumberFormat="1" applyFont="1" applyFill="1" applyBorder="1" applyAlignment="1">
      <alignment horizontal="left" vertical="center" wrapText="1"/>
    </xf>
    <xf numFmtId="166" fontId="3" fillId="3" borderId="105" xfId="0" applyNumberFormat="1" applyFont="1" applyFill="1" applyBorder="1" applyAlignment="1">
      <alignment horizontal="left" vertical="center" indent="1" shrinkToFit="1"/>
    </xf>
    <xf numFmtId="166" fontId="3" fillId="3" borderId="104" xfId="0" applyNumberFormat="1" applyFont="1" applyFill="1" applyBorder="1" applyAlignment="1">
      <alignment horizontal="left" vertical="center" indent="1" shrinkToFit="1"/>
    </xf>
    <xf numFmtId="166" fontId="3" fillId="3" borderId="116" xfId="0" applyNumberFormat="1" applyFont="1" applyFill="1" applyBorder="1" applyAlignment="1">
      <alignment horizontal="left" vertical="center" indent="1" shrinkToFit="1"/>
    </xf>
    <xf numFmtId="166" fontId="3" fillId="3" borderId="109" xfId="0" applyNumberFormat="1" applyFont="1" applyFill="1" applyBorder="1" applyAlignment="1">
      <alignment horizontal="left" vertical="center" indent="1" shrinkToFit="1"/>
    </xf>
    <xf numFmtId="166" fontId="3" fillId="3" borderId="107" xfId="0" applyNumberFormat="1" applyFont="1" applyFill="1" applyBorder="1" applyAlignment="1">
      <alignment horizontal="left" vertical="center" indent="1" shrinkToFit="1"/>
    </xf>
    <xf numFmtId="166" fontId="3" fillId="3" borderId="108" xfId="0" applyNumberFormat="1" applyFont="1" applyFill="1" applyBorder="1" applyAlignment="1">
      <alignment horizontal="left" vertical="center" indent="1" shrinkToFit="1"/>
    </xf>
    <xf numFmtId="166" fontId="3" fillId="3" borderId="96" xfId="0" applyNumberFormat="1" applyFont="1" applyFill="1" applyBorder="1" applyAlignment="1">
      <alignment horizontal="left" vertical="center" indent="1" shrinkToFit="1"/>
    </xf>
    <xf numFmtId="166" fontId="3" fillId="3" borderId="119" xfId="0" applyNumberFormat="1" applyFont="1" applyFill="1" applyBorder="1" applyAlignment="1">
      <alignment horizontal="left" vertical="center" indent="1" shrinkToFit="1"/>
    </xf>
    <xf numFmtId="166" fontId="3" fillId="3" borderId="0" xfId="0" applyNumberFormat="1" applyFont="1" applyFill="1" applyAlignment="1">
      <alignment horizontal="right" wrapText="1"/>
    </xf>
    <xf numFmtId="166" fontId="3" fillId="3" borderId="0" xfId="0" applyNumberFormat="1" applyFont="1" applyFill="1" applyAlignment="1">
      <alignment horizontal="right" vertical="center" wrapText="1" shrinkToFit="1"/>
    </xf>
    <xf numFmtId="166" fontId="3" fillId="3" borderId="107" xfId="0" applyNumberFormat="1" applyFont="1" applyFill="1" applyBorder="1" applyAlignment="1">
      <alignment horizontal="center"/>
    </xf>
    <xf numFmtId="166" fontId="4" fillId="3" borderId="0" xfId="0" applyNumberFormat="1" applyFont="1" applyFill="1" applyAlignment="1">
      <alignment horizontal="right" vertical="center" indent="1"/>
    </xf>
    <xf numFmtId="166" fontId="3" fillId="3" borderId="0" xfId="0" applyNumberFormat="1" applyFont="1" applyFill="1" applyAlignment="1">
      <alignment horizontal="right" vertical="center"/>
    </xf>
    <xf numFmtId="166" fontId="12" fillId="3" borderId="106" xfId="0" applyNumberFormat="1" applyFont="1" applyFill="1" applyBorder="1" applyAlignment="1">
      <alignment horizontal="center" vertical="top" shrinkToFit="1"/>
    </xf>
    <xf numFmtId="166" fontId="12" fillId="3" borderId="107" xfId="0" applyNumberFormat="1" applyFont="1" applyFill="1" applyBorder="1" applyAlignment="1">
      <alignment horizontal="center" vertical="top" shrinkToFit="1"/>
    </xf>
    <xf numFmtId="166" fontId="12" fillId="3" borderId="108" xfId="0" applyNumberFormat="1" applyFont="1" applyFill="1" applyBorder="1" applyAlignment="1">
      <alignment horizontal="center" vertical="top" shrinkToFit="1"/>
    </xf>
    <xf numFmtId="166" fontId="5" fillId="3" borderId="109" xfId="0" applyNumberFormat="1" applyFont="1" applyFill="1" applyBorder="1" applyAlignment="1">
      <alignment horizontal="center" vertical="top" wrapText="1" shrinkToFit="1"/>
    </xf>
    <xf numFmtId="166" fontId="5" fillId="3" borderId="108" xfId="0" applyNumberFormat="1" applyFont="1" applyFill="1" applyBorder="1" applyAlignment="1">
      <alignment horizontal="center" vertical="top" wrapText="1" shrinkToFit="1"/>
    </xf>
    <xf numFmtId="166" fontId="62" fillId="3" borderId="109" xfId="0" applyNumberFormat="1" applyFont="1" applyFill="1" applyBorder="1" applyAlignment="1">
      <alignment horizontal="center" vertical="center" shrinkToFit="1"/>
    </xf>
    <xf numFmtId="166" fontId="62" fillId="3" borderId="107" xfId="0" applyNumberFormat="1" applyFont="1" applyFill="1" applyBorder="1" applyAlignment="1">
      <alignment horizontal="center" vertical="center" shrinkToFit="1"/>
    </xf>
    <xf numFmtId="166" fontId="62" fillId="3" borderId="108" xfId="0" applyNumberFormat="1" applyFont="1" applyFill="1" applyBorder="1" applyAlignment="1">
      <alignment horizontal="center" vertical="center" shrinkToFit="1"/>
    </xf>
    <xf numFmtId="169" fontId="5" fillId="3" borderId="109" xfId="0" applyNumberFormat="1" applyFont="1" applyFill="1" applyBorder="1" applyAlignment="1">
      <alignment horizontal="center" vertical="top" shrinkToFit="1"/>
    </xf>
    <xf numFmtId="169" fontId="5" fillId="3" borderId="107" xfId="0" applyNumberFormat="1" applyFont="1" applyFill="1" applyBorder="1" applyAlignment="1">
      <alignment horizontal="center" vertical="top" shrinkToFit="1"/>
    </xf>
    <xf numFmtId="169" fontId="5" fillId="3" borderId="108" xfId="0" applyNumberFormat="1" applyFont="1" applyFill="1" applyBorder="1" applyAlignment="1">
      <alignment horizontal="center" vertical="top" shrinkToFit="1"/>
    </xf>
    <xf numFmtId="166" fontId="5" fillId="3" borderId="107" xfId="0" applyNumberFormat="1" applyFont="1" applyFill="1" applyBorder="1" applyAlignment="1">
      <alignment horizontal="center" vertical="top" wrapText="1" shrinkToFit="1"/>
    </xf>
    <xf numFmtId="166" fontId="5" fillId="3" borderId="119" xfId="0" applyNumberFormat="1" applyFont="1" applyFill="1" applyBorder="1" applyAlignment="1">
      <alignment horizontal="center" vertical="top" wrapText="1" shrinkToFit="1"/>
    </xf>
    <xf numFmtId="164" fontId="5" fillId="3" borderId="125" xfId="0" applyNumberFormat="1" applyFont="1" applyFill="1" applyBorder="1" applyAlignment="1">
      <alignment horizontal="left" vertical="center" wrapText="1" shrinkToFit="1"/>
    </xf>
    <xf numFmtId="164" fontId="12" fillId="0" borderId="125" xfId="0" applyNumberFormat="1" applyFont="1" applyBorder="1" applyAlignment="1">
      <alignment horizontal="center" vertical="center" shrinkToFit="1"/>
    </xf>
    <xf numFmtId="164" fontId="12" fillId="3" borderId="129" xfId="0" applyNumberFormat="1" applyFont="1" applyFill="1" applyBorder="1" applyAlignment="1">
      <alignment horizontal="center" vertical="center" shrinkToFit="1"/>
    </xf>
    <xf numFmtId="164" fontId="12" fillId="3" borderId="125" xfId="0" applyNumberFormat="1" applyFont="1" applyFill="1" applyBorder="1" applyAlignment="1">
      <alignment horizontal="center" vertical="center" shrinkToFit="1"/>
    </xf>
    <xf numFmtId="166" fontId="3" fillId="3" borderId="110" xfId="0" applyNumberFormat="1" applyFont="1" applyFill="1" applyBorder="1" applyAlignment="1">
      <alignment horizontal="left" vertical="center" indent="1"/>
    </xf>
    <xf numFmtId="166" fontId="3" fillId="3" borderId="111" xfId="0" applyNumberFormat="1" applyFont="1" applyFill="1" applyBorder="1" applyAlignment="1">
      <alignment horizontal="left" vertical="center" indent="1"/>
    </xf>
    <xf numFmtId="166" fontId="3" fillId="3" borderId="120" xfId="0" applyNumberFormat="1" applyFont="1" applyFill="1" applyBorder="1" applyAlignment="1">
      <alignment horizontal="left" vertical="center" indent="1"/>
    </xf>
    <xf numFmtId="166" fontId="3" fillId="3" borderId="109" xfId="0" applyNumberFormat="1" applyFont="1" applyFill="1" applyBorder="1" applyAlignment="1">
      <alignment horizontal="left" vertical="center" indent="1"/>
    </xf>
    <xf numFmtId="166" fontId="3" fillId="3" borderId="107" xfId="0" applyNumberFormat="1" applyFont="1" applyFill="1" applyBorder="1" applyAlignment="1">
      <alignment horizontal="left" vertical="center" indent="1"/>
    </xf>
    <xf numFmtId="166" fontId="3" fillId="3" borderId="119" xfId="0" applyNumberFormat="1" applyFont="1" applyFill="1" applyBorder="1" applyAlignment="1">
      <alignment horizontal="left" vertical="center" indent="1"/>
    </xf>
    <xf numFmtId="166" fontId="49" fillId="3" borderId="110" xfId="0" applyNumberFormat="1" applyFont="1" applyFill="1" applyBorder="1" applyAlignment="1">
      <alignment horizontal="right" vertical="top"/>
    </xf>
    <xf numFmtId="166" fontId="49" fillId="3" borderId="111" xfId="0" applyNumberFormat="1" applyFont="1" applyFill="1" applyBorder="1" applyAlignment="1">
      <alignment horizontal="right" vertical="top"/>
    </xf>
    <xf numFmtId="166" fontId="49" fillId="3" borderId="109" xfId="0" applyNumberFormat="1" applyFont="1" applyFill="1" applyBorder="1" applyAlignment="1">
      <alignment horizontal="right" vertical="top"/>
    </xf>
    <xf numFmtId="166" fontId="49" fillId="3" borderId="107" xfId="0" applyNumberFormat="1" applyFont="1" applyFill="1" applyBorder="1" applyAlignment="1">
      <alignment horizontal="right" vertical="top"/>
    </xf>
    <xf numFmtId="166" fontId="3" fillId="3" borderId="110" xfId="0" applyNumberFormat="1" applyFont="1" applyFill="1" applyBorder="1" applyAlignment="1">
      <alignment horizontal="left" vertical="center" indent="1" shrinkToFit="1"/>
    </xf>
    <xf numFmtId="166" fontId="3" fillId="3" borderId="111" xfId="0" applyNumberFormat="1" applyFont="1" applyFill="1" applyBorder="1" applyAlignment="1">
      <alignment horizontal="left" vertical="center" indent="1" shrinkToFit="1"/>
    </xf>
    <xf numFmtId="166" fontId="3" fillId="3" borderId="115" xfId="0" applyNumberFormat="1" applyFont="1" applyFill="1" applyBorder="1" applyAlignment="1">
      <alignment horizontal="left" vertical="center" indent="1" shrinkToFit="1"/>
    </xf>
    <xf numFmtId="166" fontId="3" fillId="3" borderId="113" xfId="0" applyNumberFormat="1" applyFont="1" applyFill="1" applyBorder="1" applyAlignment="1">
      <alignment horizontal="left" vertical="center" indent="1" shrinkToFit="1"/>
    </xf>
    <xf numFmtId="166" fontId="3" fillId="3" borderId="4" xfId="0" applyNumberFormat="1" applyFont="1" applyFill="1" applyBorder="1" applyAlignment="1">
      <alignment horizontal="left" vertical="center" indent="1" shrinkToFit="1"/>
    </xf>
    <xf numFmtId="166" fontId="3" fillId="3" borderId="117" xfId="0" applyNumberFormat="1" applyFont="1" applyFill="1" applyBorder="1" applyAlignment="1">
      <alignment horizontal="left" vertical="center" indent="1" shrinkToFit="1"/>
    </xf>
    <xf numFmtId="166" fontId="3" fillId="3" borderId="110" xfId="0" applyNumberFormat="1" applyFont="1" applyFill="1" applyBorder="1" applyAlignment="1">
      <alignment horizontal="center" vertical="center" wrapText="1" shrinkToFit="1"/>
    </xf>
    <xf numFmtId="166" fontId="3" fillId="3" borderId="111" xfId="0" applyNumberFormat="1" applyFont="1" applyFill="1" applyBorder="1" applyAlignment="1">
      <alignment horizontal="center" vertical="center" wrapText="1" shrinkToFit="1"/>
    </xf>
    <xf numFmtId="166" fontId="3" fillId="3" borderId="113" xfId="0" applyNumberFormat="1" applyFont="1" applyFill="1" applyBorder="1" applyAlignment="1">
      <alignment horizontal="center" vertical="center" wrapText="1" shrinkToFit="1"/>
    </xf>
    <xf numFmtId="166" fontId="3" fillId="3" borderId="4" xfId="0" applyNumberFormat="1" applyFont="1" applyFill="1" applyBorder="1" applyAlignment="1">
      <alignment horizontal="center" vertical="center" wrapText="1" shrinkToFit="1"/>
    </xf>
    <xf numFmtId="166" fontId="3" fillId="3" borderId="111" xfId="0" applyNumberFormat="1" applyFont="1" applyFill="1" applyBorder="1" applyAlignment="1">
      <alignment horizontal="left" vertical="center" shrinkToFit="1"/>
    </xf>
    <xf numFmtId="166" fontId="3" fillId="3" borderId="120" xfId="0" applyNumberFormat="1" applyFont="1" applyFill="1" applyBorder="1" applyAlignment="1">
      <alignment horizontal="left" vertical="center" shrinkToFit="1"/>
    </xf>
    <xf numFmtId="166" fontId="3" fillId="3" borderId="4" xfId="0" applyNumberFormat="1" applyFont="1" applyFill="1" applyBorder="1" applyAlignment="1">
      <alignment horizontal="left" vertical="center" shrinkToFit="1"/>
    </xf>
    <xf numFmtId="166" fontId="3" fillId="3" borderId="5" xfId="0" applyNumberFormat="1" applyFont="1" applyFill="1" applyBorder="1" applyAlignment="1">
      <alignment horizontal="left" vertical="center" shrinkToFit="1"/>
    </xf>
    <xf numFmtId="166" fontId="55" fillId="3" borderId="110" xfId="0" applyNumberFormat="1" applyFont="1" applyFill="1" applyBorder="1" applyAlignment="1">
      <alignment horizontal="center" vertical="center"/>
    </xf>
    <xf numFmtId="166" fontId="55" fillId="3" borderId="111" xfId="0" applyNumberFormat="1" applyFont="1" applyFill="1" applyBorder="1" applyAlignment="1">
      <alignment horizontal="center" vertical="center"/>
    </xf>
    <xf numFmtId="166" fontId="55" fillId="3" borderId="113" xfId="0" applyNumberFormat="1" applyFont="1" applyFill="1" applyBorder="1" applyAlignment="1">
      <alignment horizontal="center" vertical="center"/>
    </xf>
    <xf numFmtId="166" fontId="55" fillId="3" borderId="4" xfId="0" applyNumberFormat="1" applyFont="1" applyFill="1" applyBorder="1" applyAlignment="1">
      <alignment horizontal="center" vertical="center"/>
    </xf>
    <xf numFmtId="166" fontId="3" fillId="3" borderId="104" xfId="0" applyNumberFormat="1" applyFont="1" applyFill="1" applyBorder="1" applyAlignment="1">
      <alignment horizontal="center"/>
    </xf>
    <xf numFmtId="166" fontId="3" fillId="3" borderId="96" xfId="0" applyNumberFormat="1" applyFont="1" applyFill="1" applyBorder="1" applyAlignment="1">
      <alignment horizontal="center"/>
    </xf>
    <xf numFmtId="166" fontId="3" fillId="3" borderId="119" xfId="0" applyNumberFormat="1" applyFont="1" applyFill="1" applyBorder="1" applyAlignment="1">
      <alignment horizontal="center"/>
    </xf>
    <xf numFmtId="166" fontId="3" fillId="3" borderId="0" xfId="0" applyNumberFormat="1" applyFont="1" applyFill="1" applyAlignment="1">
      <alignment horizontal="center" vertical="center"/>
    </xf>
    <xf numFmtId="166" fontId="3" fillId="3" borderId="2" xfId="0" applyNumberFormat="1" applyFont="1" applyFill="1" applyBorder="1" applyAlignment="1">
      <alignment horizontal="center" vertical="center"/>
    </xf>
    <xf numFmtId="166" fontId="3" fillId="3" borderId="4" xfId="0" applyNumberFormat="1" applyFont="1" applyFill="1" applyBorder="1" applyAlignment="1">
      <alignment horizontal="center" vertical="center"/>
    </xf>
    <xf numFmtId="166" fontId="3" fillId="3" borderId="5" xfId="0" applyNumberFormat="1" applyFont="1" applyFill="1" applyBorder="1" applyAlignment="1">
      <alignment horizontal="center" vertical="center"/>
    </xf>
    <xf numFmtId="166" fontId="3" fillId="3" borderId="113" xfId="0" applyNumberFormat="1" applyFont="1" applyFill="1" applyBorder="1" applyAlignment="1">
      <alignment horizontal="left" vertical="center" indent="1"/>
    </xf>
    <xf numFmtId="166" fontId="3" fillId="3" borderId="4" xfId="0" applyNumberFormat="1" applyFont="1" applyFill="1" applyBorder="1" applyAlignment="1">
      <alignment horizontal="left" vertical="center" indent="1"/>
    </xf>
    <xf numFmtId="166" fontId="3" fillId="3" borderId="5" xfId="0" applyNumberFormat="1" applyFont="1" applyFill="1" applyBorder="1" applyAlignment="1">
      <alignment horizontal="left" vertical="center" indent="1"/>
    </xf>
    <xf numFmtId="170" fontId="4" fillId="3" borderId="105" xfId="0" applyNumberFormat="1" applyFont="1" applyFill="1" applyBorder="1" applyAlignment="1">
      <alignment horizontal="left" vertical="center" indent="1"/>
    </xf>
    <xf numFmtId="170" fontId="4" fillId="3" borderId="104" xfId="0" applyNumberFormat="1" applyFont="1" applyFill="1" applyBorder="1" applyAlignment="1">
      <alignment horizontal="left" vertical="center" indent="1"/>
    </xf>
    <xf numFmtId="170" fontId="4" fillId="3" borderId="116" xfId="0" applyNumberFormat="1" applyFont="1" applyFill="1" applyBorder="1" applyAlignment="1">
      <alignment horizontal="left" vertical="center" indent="1"/>
    </xf>
    <xf numFmtId="170" fontId="4" fillId="3" borderId="109" xfId="0" applyNumberFormat="1" applyFont="1" applyFill="1" applyBorder="1" applyAlignment="1">
      <alignment horizontal="left" vertical="center" indent="1"/>
    </xf>
    <xf numFmtId="170" fontId="4" fillId="3" borderId="107" xfId="0" applyNumberFormat="1" applyFont="1" applyFill="1" applyBorder="1" applyAlignment="1">
      <alignment horizontal="left" vertical="center" indent="1"/>
    </xf>
    <xf numFmtId="170" fontId="4" fillId="3" borderId="108" xfId="0" applyNumberFormat="1" applyFont="1" applyFill="1" applyBorder="1" applyAlignment="1">
      <alignment horizontal="left" vertical="center" indent="1"/>
    </xf>
    <xf numFmtId="170" fontId="3" fillId="3" borderId="0" xfId="0" applyNumberFormat="1" applyFont="1" applyFill="1" applyAlignment="1">
      <alignment horizontal="left" vertical="center"/>
    </xf>
    <xf numFmtId="170" fontId="3" fillId="3" borderId="118" xfId="0" applyNumberFormat="1" applyFont="1" applyFill="1" applyBorder="1" applyAlignment="1">
      <alignment horizontal="left" vertical="center"/>
    </xf>
    <xf numFmtId="170" fontId="3" fillId="3" borderId="4" xfId="0" applyNumberFormat="1" applyFont="1" applyFill="1" applyBorder="1" applyAlignment="1">
      <alignment horizontal="left" vertical="center"/>
    </xf>
    <xf numFmtId="170" fontId="3" fillId="3" borderId="117" xfId="0" applyNumberFormat="1" applyFont="1" applyFill="1" applyBorder="1" applyAlignment="1">
      <alignment horizontal="left" vertical="center"/>
    </xf>
    <xf numFmtId="170" fontId="3" fillId="3" borderId="104" xfId="0" applyNumberFormat="1" applyFont="1" applyFill="1" applyBorder="1" applyAlignment="1">
      <alignment horizontal="left" vertical="center"/>
    </xf>
    <xf numFmtId="170" fontId="3" fillId="3" borderId="116" xfId="0" applyNumberFormat="1" applyFont="1" applyFill="1" applyBorder="1" applyAlignment="1">
      <alignment horizontal="left" vertical="center"/>
    </xf>
    <xf numFmtId="170" fontId="3" fillId="3" borderId="107" xfId="0" applyNumberFormat="1" applyFont="1" applyFill="1" applyBorder="1" applyAlignment="1">
      <alignment horizontal="left" vertical="center"/>
    </xf>
    <xf numFmtId="170" fontId="3" fillId="3" borderId="108" xfId="0" applyNumberFormat="1" applyFont="1" applyFill="1" applyBorder="1" applyAlignment="1">
      <alignment horizontal="left" vertical="center"/>
    </xf>
    <xf numFmtId="166" fontId="55" fillId="3" borderId="114" xfId="0" applyNumberFormat="1" applyFont="1" applyFill="1" applyBorder="1" applyAlignment="1">
      <alignment horizontal="center" vertical="center"/>
    </xf>
    <xf numFmtId="166" fontId="55" fillId="3" borderId="115" xfId="0" applyNumberFormat="1" applyFont="1" applyFill="1" applyBorder="1" applyAlignment="1">
      <alignment horizontal="center" vertical="center"/>
    </xf>
    <xf numFmtId="166" fontId="55" fillId="3" borderId="46" xfId="0" applyNumberFormat="1" applyFont="1" applyFill="1" applyBorder="1" applyAlignment="1">
      <alignment horizontal="center" vertical="center"/>
    </xf>
    <xf numFmtId="166" fontId="55" fillId="3" borderId="117" xfId="0" applyNumberFormat="1" applyFont="1" applyFill="1" applyBorder="1" applyAlignment="1">
      <alignment horizontal="center" vertical="center"/>
    </xf>
    <xf numFmtId="166" fontId="55" fillId="3" borderId="105" xfId="0" applyNumberFormat="1" applyFont="1" applyFill="1" applyBorder="1" applyAlignment="1">
      <alignment horizontal="center" vertical="center"/>
    </xf>
    <xf numFmtId="166" fontId="55" fillId="3" borderId="104" xfId="0" applyNumberFormat="1" applyFont="1" applyFill="1" applyBorder="1" applyAlignment="1">
      <alignment horizontal="center" vertical="center"/>
    </xf>
    <xf numFmtId="166" fontId="55" fillId="3" borderId="109" xfId="0" applyNumberFormat="1" applyFont="1" applyFill="1" applyBorder="1" applyAlignment="1">
      <alignment horizontal="center" vertical="center"/>
    </xf>
    <xf numFmtId="166" fontId="55" fillId="3" borderId="107" xfId="0" applyNumberFormat="1" applyFont="1" applyFill="1" applyBorder="1" applyAlignment="1">
      <alignment horizontal="center" vertical="center"/>
    </xf>
    <xf numFmtId="166" fontId="55" fillId="3" borderId="103" xfId="0" applyNumberFormat="1" applyFont="1" applyFill="1" applyBorder="1" applyAlignment="1">
      <alignment horizontal="center" vertical="center"/>
    </xf>
    <xf numFmtId="166" fontId="55" fillId="3" borderId="116" xfId="0" applyNumberFormat="1" applyFont="1" applyFill="1" applyBorder="1" applyAlignment="1">
      <alignment horizontal="center" vertical="center"/>
    </xf>
    <xf numFmtId="166" fontId="55" fillId="3" borderId="106" xfId="0" applyNumberFormat="1" applyFont="1" applyFill="1" applyBorder="1" applyAlignment="1">
      <alignment horizontal="center" vertical="center"/>
    </xf>
    <xf numFmtId="166" fontId="55" fillId="3" borderId="108" xfId="0" applyNumberFormat="1" applyFont="1" applyFill="1" applyBorder="1" applyAlignment="1">
      <alignment horizontal="center" vertical="center"/>
    </xf>
    <xf numFmtId="166" fontId="5" fillId="3" borderId="111" xfId="0" applyNumberFormat="1" applyFont="1" applyFill="1" applyBorder="1" applyAlignment="1">
      <alignment horizontal="left"/>
    </xf>
    <xf numFmtId="166" fontId="5" fillId="3" borderId="120" xfId="0" applyNumberFormat="1" applyFont="1" applyFill="1" applyBorder="1" applyAlignment="1">
      <alignment horizontal="left"/>
    </xf>
    <xf numFmtId="166" fontId="4" fillId="3" borderId="106" xfId="0" applyNumberFormat="1" applyFont="1" applyFill="1" applyBorder="1" applyAlignment="1">
      <alignment horizontal="center" vertical="top" shrinkToFit="1"/>
    </xf>
    <xf numFmtId="166" fontId="4" fillId="3" borderId="107" xfId="0" applyNumberFormat="1" applyFont="1" applyFill="1" applyBorder="1" applyAlignment="1">
      <alignment horizontal="center" vertical="top" shrinkToFit="1"/>
    </xf>
    <xf numFmtId="166" fontId="4" fillId="3" borderId="108" xfId="0" applyNumberFormat="1" applyFont="1" applyFill="1" applyBorder="1" applyAlignment="1">
      <alignment horizontal="center" vertical="top" shrinkToFit="1"/>
    </xf>
    <xf numFmtId="166" fontId="4" fillId="3" borderId="109" xfId="0" applyNumberFormat="1" applyFont="1" applyFill="1" applyBorder="1" applyAlignment="1">
      <alignment horizontal="center" vertical="top" shrinkToFit="1"/>
    </xf>
    <xf numFmtId="166" fontId="4" fillId="3" borderId="107" xfId="0" applyNumberFormat="1" applyFont="1" applyFill="1" applyBorder="1" applyAlignment="1">
      <alignment horizontal="left" vertical="top"/>
    </xf>
    <xf numFmtId="166" fontId="4" fillId="3" borderId="110" xfId="0" applyNumberFormat="1" applyFont="1" applyFill="1" applyBorder="1" applyAlignment="1">
      <alignment horizontal="left" vertical="center" wrapText="1" indent="1"/>
    </xf>
    <xf numFmtId="166" fontId="4" fillId="3" borderId="111" xfId="0" applyNumberFormat="1" applyFont="1" applyFill="1" applyBorder="1" applyAlignment="1">
      <alignment horizontal="left" vertical="center" wrapText="1" indent="1"/>
    </xf>
    <xf numFmtId="166" fontId="4" fillId="3" borderId="115" xfId="0" applyNumberFormat="1" applyFont="1" applyFill="1" applyBorder="1" applyAlignment="1">
      <alignment horizontal="left" vertical="center" wrapText="1" indent="1"/>
    </xf>
    <xf numFmtId="166" fontId="4" fillId="3" borderId="113" xfId="0" applyNumberFormat="1" applyFont="1" applyFill="1" applyBorder="1" applyAlignment="1">
      <alignment horizontal="left" vertical="center" wrapText="1" indent="1"/>
    </xf>
    <xf numFmtId="166" fontId="4" fillId="3" borderId="4" xfId="0" applyNumberFormat="1" applyFont="1" applyFill="1" applyBorder="1" applyAlignment="1">
      <alignment horizontal="left" vertical="center" wrapText="1" indent="1"/>
    </xf>
    <xf numFmtId="166" fontId="4" fillId="3" borderId="117" xfId="0" applyNumberFormat="1" applyFont="1" applyFill="1" applyBorder="1" applyAlignment="1">
      <alignment horizontal="left" vertical="center" wrapText="1" indent="1"/>
    </xf>
    <xf numFmtId="166" fontId="4" fillId="3" borderId="124" xfId="0" applyNumberFormat="1" applyFont="1" applyFill="1" applyBorder="1" applyAlignment="1">
      <alignment horizontal="center" vertical="center" wrapText="1"/>
    </xf>
    <xf numFmtId="166" fontId="4" fillId="3" borderId="125" xfId="0" applyNumberFormat="1" applyFont="1" applyFill="1" applyBorder="1" applyAlignment="1">
      <alignment horizontal="center" vertical="center" wrapText="1"/>
    </xf>
    <xf numFmtId="166" fontId="4" fillId="3" borderId="126" xfId="0" applyNumberFormat="1" applyFont="1" applyFill="1" applyBorder="1" applyAlignment="1">
      <alignment horizontal="center" vertical="center" wrapText="1"/>
    </xf>
    <xf numFmtId="166" fontId="4" fillId="3" borderId="127" xfId="0" applyNumberFormat="1" applyFont="1" applyFill="1" applyBorder="1" applyAlignment="1">
      <alignment horizontal="center" vertical="center" wrapText="1"/>
    </xf>
    <xf numFmtId="166" fontId="4" fillId="3" borderId="128" xfId="0" applyNumberFormat="1" applyFont="1" applyFill="1" applyBorder="1" applyAlignment="1">
      <alignment horizontal="center" vertical="center" wrapText="1"/>
    </xf>
    <xf numFmtId="166" fontId="4" fillId="3" borderId="110" xfId="0" applyNumberFormat="1" applyFont="1" applyFill="1" applyBorder="1" applyAlignment="1">
      <alignment horizontal="center" vertical="center" wrapText="1"/>
    </xf>
    <xf numFmtId="165" fontId="3" fillId="3" borderId="125" xfId="0" applyNumberFormat="1" applyFont="1" applyFill="1" applyBorder="1" applyAlignment="1">
      <alignment horizontal="left" vertical="center" indent="1"/>
    </xf>
    <xf numFmtId="166" fontId="4" fillId="0" borderId="125" xfId="0" applyNumberFormat="1" applyFont="1" applyBorder="1" applyAlignment="1">
      <alignment horizontal="center" vertical="center" wrapText="1"/>
    </xf>
    <xf numFmtId="166" fontId="4" fillId="3" borderId="122" xfId="0" applyNumberFormat="1" applyFont="1" applyFill="1" applyBorder="1" applyAlignment="1">
      <alignment horizontal="center" vertical="center" wrapText="1"/>
    </xf>
    <xf numFmtId="166" fontId="4" fillId="3" borderId="132" xfId="0" applyNumberFormat="1" applyFont="1" applyFill="1" applyBorder="1" applyAlignment="1">
      <alignment horizontal="center" vertical="center" wrapText="1"/>
    </xf>
    <xf numFmtId="166" fontId="3" fillId="0" borderId="125" xfId="0" applyNumberFormat="1" applyFont="1" applyBorder="1" applyAlignment="1">
      <alignment horizontal="left" vertical="center" indent="1" shrinkToFit="1"/>
    </xf>
    <xf numFmtId="166" fontId="4" fillId="3" borderId="122" xfId="0" applyNumberFormat="1" applyFont="1" applyFill="1" applyBorder="1" applyAlignment="1">
      <alignment horizontal="center" vertical="center" wrapText="1" shrinkToFit="1"/>
    </xf>
    <xf numFmtId="166" fontId="4" fillId="3" borderId="125" xfId="0" applyNumberFormat="1" applyFont="1" applyFill="1" applyBorder="1" applyAlignment="1">
      <alignment horizontal="center" vertical="center" wrapText="1" shrinkToFit="1"/>
    </xf>
    <xf numFmtId="166" fontId="4" fillId="3" borderId="108" xfId="0" applyNumberFormat="1" applyFont="1" applyFill="1" applyBorder="1" applyAlignment="1">
      <alignment horizontal="left" vertical="center" wrapText="1" indent="1" shrinkToFit="1"/>
    </xf>
    <xf numFmtId="166" fontId="4" fillId="3" borderId="129" xfId="0" applyNumberFormat="1" applyFont="1" applyFill="1" applyBorder="1" applyAlignment="1">
      <alignment horizontal="left" vertical="center" wrapText="1" indent="1" shrinkToFit="1"/>
    </xf>
    <xf numFmtId="166" fontId="4" fillId="3" borderId="125" xfId="0" applyNumberFormat="1" applyFont="1" applyFill="1" applyBorder="1" applyAlignment="1">
      <alignment horizontal="left" vertical="center" wrapText="1" indent="1" shrinkToFit="1"/>
    </xf>
    <xf numFmtId="166" fontId="4" fillId="3" borderId="135" xfId="0" applyNumberFormat="1" applyFont="1" applyFill="1" applyBorder="1" applyAlignment="1">
      <alignment horizontal="left" vertical="center" wrapText="1" indent="1" shrinkToFit="1"/>
    </xf>
    <xf numFmtId="166" fontId="4" fillId="3" borderId="130" xfId="0" applyNumberFormat="1" applyFont="1" applyFill="1" applyBorder="1" applyAlignment="1">
      <alignment horizontal="left" vertical="center" wrapText="1" indent="1" shrinkToFit="1"/>
    </xf>
    <xf numFmtId="166" fontId="49" fillId="3" borderId="0" xfId="0" applyNumberFormat="1" applyFont="1" applyFill="1" applyAlignment="1">
      <alignment horizontal="center" vertical="center"/>
    </xf>
    <xf numFmtId="166" fontId="4" fillId="3" borderId="121" xfId="0" applyNumberFormat="1" applyFont="1" applyFill="1" applyBorder="1" applyAlignment="1">
      <alignment horizontal="center" vertical="center" wrapText="1"/>
    </xf>
    <xf numFmtId="166" fontId="4" fillId="3" borderId="123" xfId="0" applyNumberFormat="1" applyFont="1" applyFill="1" applyBorder="1" applyAlignment="1">
      <alignment horizontal="center" vertical="center" wrapText="1"/>
    </xf>
    <xf numFmtId="166" fontId="57" fillId="3" borderId="111" xfId="0" applyNumberFormat="1" applyFont="1" applyFill="1" applyBorder="1" applyAlignment="1">
      <alignment horizontal="center" vertical="top"/>
    </xf>
    <xf numFmtId="166" fontId="57" fillId="3" borderId="4" xfId="0" applyNumberFormat="1" applyFont="1" applyFill="1" applyBorder="1" applyAlignment="1">
      <alignment horizontal="center" vertical="top"/>
    </xf>
    <xf numFmtId="166" fontId="4" fillId="3" borderId="134" xfId="0" applyNumberFormat="1" applyFont="1" applyFill="1" applyBorder="1" applyAlignment="1">
      <alignment horizontal="center" vertical="center" wrapText="1"/>
    </xf>
    <xf numFmtId="166" fontId="4" fillId="3" borderId="136" xfId="0" applyNumberFormat="1" applyFont="1" applyFill="1" applyBorder="1" applyAlignment="1">
      <alignment horizontal="center" vertical="center" wrapText="1"/>
    </xf>
    <xf numFmtId="166" fontId="4" fillId="0" borderId="129" xfId="0" applyNumberFormat="1" applyFont="1" applyBorder="1" applyAlignment="1">
      <alignment horizontal="left" vertical="center" wrapText="1" indent="1" shrinkToFit="1"/>
    </xf>
    <xf numFmtId="166" fontId="4" fillId="0" borderId="125" xfId="0" applyNumberFormat="1" applyFont="1" applyBorder="1" applyAlignment="1">
      <alignment horizontal="left" vertical="center" wrapText="1" indent="1" shrinkToFit="1"/>
    </xf>
    <xf numFmtId="166" fontId="57" fillId="3" borderId="110" xfId="0" applyNumberFormat="1" applyFont="1" applyFill="1" applyBorder="1" applyAlignment="1">
      <alignment horizontal="center" vertical="top"/>
    </xf>
    <xf numFmtId="166" fontId="57" fillId="3" borderId="109" xfId="0" applyNumberFormat="1" applyFont="1" applyFill="1" applyBorder="1" applyAlignment="1">
      <alignment horizontal="center" vertical="top"/>
    </xf>
    <xf numFmtId="166" fontId="3" fillId="3" borderId="111" xfId="0" applyNumberFormat="1" applyFont="1" applyFill="1" applyBorder="1" applyAlignment="1">
      <alignment horizontal="center" vertical="center"/>
    </xf>
    <xf numFmtId="166" fontId="3" fillId="3" borderId="107" xfId="0" applyNumberFormat="1" applyFont="1" applyFill="1" applyBorder="1" applyAlignment="1">
      <alignment horizontal="center" vertical="center"/>
    </xf>
    <xf numFmtId="166" fontId="4" fillId="0" borderId="132" xfId="0" applyNumberFormat="1" applyFont="1" applyBorder="1" applyAlignment="1">
      <alignment horizontal="left" vertical="center" wrapText="1" indent="1" shrinkToFit="1"/>
    </xf>
    <xf numFmtId="164" fontId="3" fillId="3" borderId="0" xfId="0" applyNumberFormat="1" applyFont="1" applyFill="1" applyAlignment="1">
      <alignment horizontal="left" indent="1"/>
    </xf>
    <xf numFmtId="164" fontId="3" fillId="3" borderId="107" xfId="0" applyNumberFormat="1" applyFont="1" applyFill="1" applyBorder="1" applyAlignment="1">
      <alignment horizontal="left" indent="1"/>
    </xf>
    <xf numFmtId="166" fontId="3" fillId="3" borderId="110" xfId="0" applyNumberFormat="1" applyFont="1" applyFill="1" applyBorder="1" applyAlignment="1">
      <alignment horizontal="left" vertical="center" wrapText="1" indent="1"/>
    </xf>
    <xf numFmtId="166" fontId="3" fillId="3" borderId="111" xfId="0" applyNumberFormat="1" applyFont="1" applyFill="1" applyBorder="1" applyAlignment="1">
      <alignment horizontal="left" vertical="center" wrapText="1" indent="1"/>
    </xf>
    <xf numFmtId="166" fontId="3" fillId="3" borderId="115" xfId="0" applyNumberFormat="1" applyFont="1" applyFill="1" applyBorder="1" applyAlignment="1">
      <alignment horizontal="left" vertical="center" wrapText="1" indent="1"/>
    </xf>
    <xf numFmtId="166" fontId="3" fillId="3" borderId="109" xfId="0" applyNumberFormat="1" applyFont="1" applyFill="1" applyBorder="1" applyAlignment="1">
      <alignment horizontal="left" vertical="center" wrapText="1" indent="1"/>
    </xf>
    <xf numFmtId="166" fontId="3" fillId="3" borderId="107" xfId="0" applyNumberFormat="1" applyFont="1" applyFill="1" applyBorder="1" applyAlignment="1">
      <alignment horizontal="left" vertical="center" wrapText="1" indent="1"/>
    </xf>
    <xf numFmtId="166" fontId="3" fillId="3" borderId="108" xfId="0" applyNumberFormat="1" applyFont="1" applyFill="1" applyBorder="1" applyAlignment="1">
      <alignment horizontal="left" vertical="center" wrapText="1" indent="1"/>
    </xf>
    <xf numFmtId="164" fontId="3" fillId="3" borderId="111" xfId="0" applyNumberFormat="1" applyFont="1" applyFill="1" applyBorder="1" applyAlignment="1">
      <alignment horizontal="left" vertical="center" wrapText="1" shrinkToFit="1"/>
    </xf>
    <xf numFmtId="164" fontId="3" fillId="3" borderId="115" xfId="0" applyNumberFormat="1" applyFont="1" applyFill="1" applyBorder="1" applyAlignment="1">
      <alignment horizontal="left" vertical="center" wrapText="1" shrinkToFit="1"/>
    </xf>
    <xf numFmtId="164" fontId="3" fillId="3" borderId="107" xfId="0" applyNumberFormat="1" applyFont="1" applyFill="1" applyBorder="1" applyAlignment="1">
      <alignment horizontal="left" vertical="center" wrapText="1" shrinkToFit="1"/>
    </xf>
    <xf numFmtId="164" fontId="3" fillId="3" borderId="108" xfId="0" applyNumberFormat="1" applyFont="1" applyFill="1" applyBorder="1" applyAlignment="1">
      <alignment horizontal="left" vertical="center" wrapText="1" shrinkToFit="1"/>
    </xf>
    <xf numFmtId="171" fontId="3" fillId="0" borderId="125" xfId="0" applyNumberFormat="1" applyFont="1" applyBorder="1" applyAlignment="1">
      <alignment horizontal="center" vertical="center"/>
    </xf>
    <xf numFmtId="171" fontId="3" fillId="0" borderId="135" xfId="0" applyNumberFormat="1" applyFont="1" applyBorder="1" applyAlignment="1">
      <alignment horizontal="center" vertical="center"/>
    </xf>
    <xf numFmtId="171" fontId="3" fillId="0" borderId="129" xfId="0" applyNumberFormat="1" applyFont="1" applyBorder="1" applyAlignment="1">
      <alignment horizontal="center" vertical="center"/>
    </xf>
    <xf numFmtId="171" fontId="3" fillId="0" borderId="137" xfId="0" applyNumberFormat="1" applyFont="1" applyBorder="1" applyAlignment="1">
      <alignment horizontal="center" vertical="center"/>
    </xf>
    <xf numFmtId="171" fontId="3" fillId="0" borderId="132" xfId="0" applyNumberFormat="1" applyFont="1" applyBorder="1" applyAlignment="1">
      <alignment horizontal="center" vertical="center"/>
    </xf>
    <xf numFmtId="171" fontId="3" fillId="0" borderId="136" xfId="0" applyNumberFormat="1" applyFont="1" applyBorder="1" applyAlignment="1">
      <alignment horizontal="center" vertical="center"/>
    </xf>
    <xf numFmtId="166" fontId="4" fillId="3" borderId="110" xfId="0" applyNumberFormat="1" applyFont="1" applyFill="1" applyBorder="1" applyAlignment="1">
      <alignment horizontal="left" vertical="center" indent="1"/>
    </xf>
    <xf numFmtId="166" fontId="4" fillId="3" borderId="111" xfId="0" applyNumberFormat="1" applyFont="1" applyFill="1" applyBorder="1" applyAlignment="1">
      <alignment horizontal="left" vertical="center" indent="1"/>
    </xf>
    <xf numFmtId="166" fontId="4" fillId="3" borderId="120" xfId="0" applyNumberFormat="1" applyFont="1" applyFill="1" applyBorder="1" applyAlignment="1">
      <alignment horizontal="left" vertical="center" indent="1"/>
    </xf>
    <xf numFmtId="166" fontId="4" fillId="3" borderId="109" xfId="0" applyNumberFormat="1" applyFont="1" applyFill="1" applyBorder="1" applyAlignment="1">
      <alignment horizontal="left" vertical="center" indent="1"/>
    </xf>
    <xf numFmtId="166" fontId="4" fillId="3" borderId="107" xfId="0" applyNumberFormat="1" applyFont="1" applyFill="1" applyBorder="1" applyAlignment="1">
      <alignment horizontal="left" vertical="center" indent="1"/>
    </xf>
    <xf numFmtId="166" fontId="4" fillId="3" borderId="119" xfId="0" applyNumberFormat="1" applyFont="1" applyFill="1" applyBorder="1" applyAlignment="1">
      <alignment horizontal="left" vertical="center" indent="1"/>
    </xf>
    <xf numFmtId="166" fontId="3" fillId="3" borderId="115" xfId="0" applyNumberFormat="1" applyFont="1" applyFill="1" applyBorder="1" applyAlignment="1">
      <alignment horizontal="left" vertical="center" indent="1"/>
    </xf>
    <xf numFmtId="166" fontId="3" fillId="3" borderId="108" xfId="0" applyNumberFormat="1" applyFont="1" applyFill="1" applyBorder="1" applyAlignment="1">
      <alignment horizontal="left" vertical="center" indent="1"/>
    </xf>
    <xf numFmtId="166" fontId="4" fillId="3" borderId="115" xfId="0" applyNumberFormat="1" applyFont="1" applyFill="1" applyBorder="1" applyAlignment="1">
      <alignment horizontal="left" vertical="center" indent="1"/>
    </xf>
    <xf numFmtId="166" fontId="4" fillId="3" borderId="108" xfId="0" applyNumberFormat="1" applyFont="1" applyFill="1" applyBorder="1" applyAlignment="1">
      <alignment horizontal="left" vertical="center" indent="1"/>
    </xf>
    <xf numFmtId="164" fontId="5" fillId="3" borderId="0" xfId="0" applyNumberFormat="1" applyFont="1" applyFill="1" applyAlignment="1">
      <alignment horizontal="left" wrapText="1" indent="1" shrinkToFit="1"/>
    </xf>
    <xf numFmtId="164" fontId="5" fillId="3" borderId="107" xfId="0" applyNumberFormat="1" applyFont="1" applyFill="1" applyBorder="1" applyAlignment="1">
      <alignment horizontal="left" wrapText="1" indent="1" shrinkToFit="1"/>
    </xf>
    <xf numFmtId="166" fontId="2" fillId="3" borderId="0" xfId="0" applyNumberFormat="1" applyFont="1" applyFill="1" applyAlignment="1">
      <alignment horizontal="left" indent="1" shrinkToFit="1"/>
    </xf>
    <xf numFmtId="166" fontId="2" fillId="3" borderId="107" xfId="0" applyNumberFormat="1" applyFont="1" applyFill="1" applyBorder="1" applyAlignment="1">
      <alignment horizontal="left" indent="1" shrinkToFit="1"/>
    </xf>
    <xf numFmtId="172" fontId="12" fillId="0" borderId="125" xfId="0" applyNumberFormat="1" applyFont="1" applyBorder="1" applyAlignment="1">
      <alignment horizontal="center" vertical="center" shrinkToFit="1"/>
    </xf>
    <xf numFmtId="164" fontId="5" fillId="3" borderId="129" xfId="0" applyNumberFormat="1" applyFont="1" applyFill="1" applyBorder="1" applyAlignment="1">
      <alignment horizontal="left" vertical="center" wrapText="1" shrinkToFit="1"/>
    </xf>
    <xf numFmtId="166" fontId="4" fillId="0" borderId="103" xfId="0" applyNumberFormat="1" applyFont="1" applyBorder="1" applyAlignment="1">
      <alignment horizontal="left" vertical="top" wrapText="1"/>
    </xf>
    <xf numFmtId="166" fontId="4" fillId="0" borderId="104" xfId="0" applyNumberFormat="1" applyFont="1" applyBorder="1" applyAlignment="1">
      <alignment horizontal="left" vertical="top" wrapText="1"/>
    </xf>
    <xf numFmtId="166" fontId="4" fillId="0" borderId="96" xfId="0" applyNumberFormat="1" applyFont="1" applyBorder="1" applyAlignment="1">
      <alignment horizontal="left" vertical="top" wrapText="1"/>
    </xf>
    <xf numFmtId="166" fontId="4" fillId="0" borderId="76" xfId="0" applyNumberFormat="1" applyFont="1" applyBorder="1" applyAlignment="1">
      <alignment horizontal="left" vertical="top" wrapText="1"/>
    </xf>
    <xf numFmtId="166" fontId="4" fillId="0" borderId="0" xfId="0" applyNumberFormat="1" applyFont="1" applyAlignment="1">
      <alignment horizontal="left" vertical="top" wrapText="1"/>
    </xf>
    <xf numFmtId="166" fontId="4" fillId="0" borderId="2" xfId="0" applyNumberFormat="1" applyFont="1" applyBorder="1" applyAlignment="1">
      <alignment horizontal="left" vertical="top" wrapText="1"/>
    </xf>
    <xf numFmtId="166" fontId="4" fillId="0" borderId="46" xfId="0" applyNumberFormat="1" applyFont="1" applyBorder="1" applyAlignment="1">
      <alignment horizontal="left" vertical="top" wrapText="1"/>
    </xf>
    <xf numFmtId="166" fontId="4" fillId="0" borderId="4" xfId="0" applyNumberFormat="1" applyFont="1" applyBorder="1" applyAlignment="1">
      <alignment horizontal="left" vertical="top" wrapText="1"/>
    </xf>
    <xf numFmtId="166" fontId="4" fillId="0" borderId="5" xfId="0" applyNumberFormat="1" applyFont="1" applyBorder="1" applyAlignment="1">
      <alignment horizontal="left" vertical="top" wrapText="1"/>
    </xf>
    <xf numFmtId="166" fontId="5" fillId="0" borderId="125" xfId="0" applyNumberFormat="1" applyFont="1" applyBorder="1" applyAlignment="1">
      <alignment horizontal="left" vertical="center" wrapText="1" indent="1" shrinkToFit="1"/>
    </xf>
    <xf numFmtId="166" fontId="5" fillId="0" borderId="132" xfId="0" applyNumberFormat="1" applyFont="1" applyBorder="1" applyAlignment="1">
      <alignment horizontal="left" vertical="center" wrapText="1" indent="1" shrinkToFit="1"/>
    </xf>
    <xf numFmtId="166" fontId="4" fillId="3" borderId="113" xfId="0" applyNumberFormat="1" applyFont="1" applyFill="1" applyBorder="1" applyAlignment="1">
      <alignment horizontal="left" vertical="center" indent="1"/>
    </xf>
    <xf numFmtId="166" fontId="4" fillId="3" borderId="4" xfId="0" applyNumberFormat="1" applyFont="1" applyFill="1" applyBorder="1" applyAlignment="1">
      <alignment horizontal="left" vertical="center" indent="1"/>
    </xf>
    <xf numFmtId="166" fontId="4" fillId="3" borderId="5" xfId="0" applyNumberFormat="1" applyFont="1" applyFill="1" applyBorder="1" applyAlignment="1">
      <alignment horizontal="left" vertical="center" indent="1"/>
    </xf>
    <xf numFmtId="166" fontId="4" fillId="3" borderId="109" xfId="0" applyNumberFormat="1" applyFont="1" applyFill="1" applyBorder="1" applyAlignment="1">
      <alignment horizontal="left" vertical="center" wrapText="1" indent="1"/>
    </xf>
    <xf numFmtId="166" fontId="4" fillId="3" borderId="107" xfId="0" applyNumberFormat="1" applyFont="1" applyFill="1" applyBorder="1" applyAlignment="1">
      <alignment horizontal="left" vertical="center" wrapText="1" indent="1"/>
    </xf>
    <xf numFmtId="166" fontId="4" fillId="3" borderId="108" xfId="0" applyNumberFormat="1" applyFont="1" applyFill="1" applyBorder="1" applyAlignment="1">
      <alignment horizontal="left" vertical="center" wrapText="1" indent="1"/>
    </xf>
    <xf numFmtId="166" fontId="4" fillId="3" borderId="111" xfId="0" applyNumberFormat="1" applyFont="1" applyFill="1" applyBorder="1" applyAlignment="1">
      <alignment horizontal="center" vertical="center" wrapText="1"/>
    </xf>
    <xf numFmtId="166" fontId="4" fillId="3" borderId="107" xfId="0" applyNumberFormat="1" applyFont="1" applyFill="1" applyBorder="1" applyAlignment="1">
      <alignment horizontal="center" vertical="center" wrapText="1"/>
    </xf>
    <xf numFmtId="166" fontId="49" fillId="3" borderId="0" xfId="0" applyNumberFormat="1" applyFont="1" applyFill="1" applyAlignment="1">
      <alignment horizontal="right" vertical="top"/>
    </xf>
    <xf numFmtId="164" fontId="3" fillId="0" borderId="122" xfId="0" applyNumberFormat="1" applyFont="1" applyBorder="1" applyAlignment="1">
      <alignment horizontal="left" vertical="center" indent="1" shrinkToFit="1"/>
    </xf>
    <xf numFmtId="164" fontId="3" fillId="0" borderId="134" xfId="0" applyNumberFormat="1" applyFont="1" applyBorder="1" applyAlignment="1">
      <alignment horizontal="left" vertical="center" indent="1" shrinkToFit="1"/>
    </xf>
    <xf numFmtId="164" fontId="3" fillId="0" borderId="125" xfId="0" applyNumberFormat="1" applyFont="1" applyBorder="1" applyAlignment="1">
      <alignment horizontal="left" vertical="center" indent="1" shrinkToFit="1"/>
    </xf>
    <xf numFmtId="164" fontId="3" fillId="0" borderId="135" xfId="0" applyNumberFormat="1" applyFont="1" applyBorder="1" applyAlignment="1">
      <alignment horizontal="left" vertical="center" indent="1" shrinkToFit="1"/>
    </xf>
    <xf numFmtId="166" fontId="4" fillId="3" borderId="114" xfId="0" applyNumberFormat="1" applyFont="1" applyFill="1" applyBorder="1" applyAlignment="1">
      <alignment horizontal="center" shrinkToFit="1"/>
    </xf>
    <xf numFmtId="166" fontId="4" fillId="3" borderId="111" xfId="0" applyNumberFormat="1" applyFont="1" applyFill="1" applyBorder="1" applyAlignment="1">
      <alignment horizontal="center" shrinkToFit="1"/>
    </xf>
    <xf numFmtId="166" fontId="4" fillId="3" borderId="115" xfId="0" applyNumberFormat="1" applyFont="1" applyFill="1" applyBorder="1" applyAlignment="1">
      <alignment horizontal="center" shrinkToFit="1"/>
    </xf>
    <xf numFmtId="166" fontId="4" fillId="3" borderId="110" xfId="0" applyNumberFormat="1" applyFont="1" applyFill="1" applyBorder="1" applyAlignment="1">
      <alignment horizontal="center" wrapText="1" shrinkToFit="1"/>
    </xf>
    <xf numFmtId="166" fontId="4" fillId="3" borderId="111" xfId="0" applyNumberFormat="1" applyFont="1" applyFill="1" applyBorder="1" applyAlignment="1">
      <alignment horizontal="center" wrapText="1" shrinkToFit="1"/>
    </xf>
    <xf numFmtId="166" fontId="4" fillId="3" borderId="115" xfId="0" applyNumberFormat="1" applyFont="1" applyFill="1" applyBorder="1" applyAlignment="1">
      <alignment horizontal="center" wrapText="1" shrinkToFit="1"/>
    </xf>
    <xf numFmtId="166" fontId="4" fillId="3" borderId="110" xfId="0" applyNumberFormat="1" applyFont="1" applyFill="1" applyBorder="1" applyAlignment="1">
      <alignment horizontal="center" wrapText="1"/>
    </xf>
    <xf numFmtId="166" fontId="4" fillId="3" borderId="111" xfId="0" applyNumberFormat="1" applyFont="1" applyFill="1" applyBorder="1" applyAlignment="1">
      <alignment horizontal="center" wrapText="1"/>
    </xf>
    <xf numFmtId="166" fontId="4" fillId="3" borderId="115" xfId="0" applyNumberFormat="1" applyFont="1" applyFill="1" applyBorder="1" applyAlignment="1">
      <alignment horizontal="center" wrapText="1"/>
    </xf>
    <xf numFmtId="166" fontId="4" fillId="3" borderId="46" xfId="0" applyNumberFormat="1" applyFont="1" applyFill="1" applyBorder="1" applyAlignment="1">
      <alignment horizontal="center" vertical="top" shrinkToFit="1"/>
    </xf>
    <xf numFmtId="166" fontId="4" fillId="3" borderId="4" xfId="0" applyNumberFormat="1" applyFont="1" applyFill="1" applyBorder="1" applyAlignment="1">
      <alignment horizontal="center" vertical="top" shrinkToFit="1"/>
    </xf>
    <xf numFmtId="166" fontId="4" fillId="3" borderId="117" xfId="0" applyNumberFormat="1" applyFont="1" applyFill="1" applyBorder="1" applyAlignment="1">
      <alignment horizontal="center" vertical="top" shrinkToFit="1"/>
    </xf>
    <xf numFmtId="166" fontId="4" fillId="3" borderId="113" xfId="0" applyNumberFormat="1" applyFont="1" applyFill="1" applyBorder="1" applyAlignment="1">
      <alignment horizontal="center" vertical="top" wrapText="1"/>
    </xf>
    <xf numFmtId="166" fontId="4" fillId="3" borderId="4" xfId="0" applyNumberFormat="1" applyFont="1" applyFill="1" applyBorder="1" applyAlignment="1">
      <alignment horizontal="center" vertical="top" wrapText="1"/>
    </xf>
    <xf numFmtId="166" fontId="4" fillId="3" borderId="117" xfId="0" applyNumberFormat="1" applyFont="1" applyFill="1" applyBorder="1" applyAlignment="1">
      <alignment horizontal="center" vertical="top" wrapText="1"/>
    </xf>
    <xf numFmtId="166" fontId="3" fillId="3" borderId="121" xfId="0" applyNumberFormat="1" applyFont="1" applyFill="1" applyBorder="1" applyAlignment="1">
      <alignment horizontal="center" vertical="center"/>
    </xf>
    <xf numFmtId="166" fontId="3" fillId="3" borderId="131" xfId="0" applyNumberFormat="1" applyFont="1" applyFill="1" applyBorder="1" applyAlignment="1">
      <alignment horizontal="center" vertical="center"/>
    </xf>
    <xf numFmtId="166" fontId="3" fillId="0" borderId="133" xfId="0" applyNumberFormat="1" applyFont="1" applyBorder="1" applyAlignment="1">
      <alignment horizontal="center" vertical="center"/>
    </xf>
    <xf numFmtId="166" fontId="3" fillId="0" borderId="124" xfId="0" applyNumberFormat="1" applyFont="1" applyBorder="1" applyAlignment="1">
      <alignment horizontal="center" vertical="center"/>
    </xf>
    <xf numFmtId="166" fontId="3" fillId="0" borderId="131" xfId="0" applyNumberFormat="1" applyFont="1" applyBorder="1" applyAlignment="1">
      <alignment horizontal="center" vertical="center"/>
    </xf>
    <xf numFmtId="166" fontId="3" fillId="0" borderId="121" xfId="0" applyNumberFormat="1" applyFont="1" applyBorder="1" applyAlignment="1">
      <alignment horizontal="center" vertical="center"/>
    </xf>
    <xf numFmtId="166" fontId="52" fillId="3" borderId="46" xfId="0" applyNumberFormat="1" applyFont="1" applyFill="1" applyBorder="1" applyAlignment="1">
      <alignment horizontal="center" vertical="top"/>
    </xf>
    <xf numFmtId="166" fontId="52" fillId="3" borderId="4" xfId="0" applyNumberFormat="1" applyFont="1" applyFill="1" applyBorder="1" applyAlignment="1">
      <alignment horizontal="center" vertical="top"/>
    </xf>
    <xf numFmtId="166" fontId="52" fillId="3" borderId="117" xfId="0" applyNumberFormat="1" applyFont="1" applyFill="1" applyBorder="1" applyAlignment="1">
      <alignment horizontal="center" vertical="top"/>
    </xf>
    <xf numFmtId="166" fontId="3" fillId="3" borderId="0" xfId="0" applyNumberFormat="1" applyFont="1" applyFill="1" applyAlignment="1">
      <alignment horizontal="right"/>
    </xf>
    <xf numFmtId="166" fontId="12" fillId="3" borderId="46" xfId="0" applyNumberFormat="1" applyFont="1" applyFill="1" applyBorder="1" applyAlignment="1">
      <alignment horizontal="center" vertical="top" shrinkToFit="1"/>
    </xf>
    <xf numFmtId="166" fontId="12" fillId="3" borderId="4" xfId="0" applyNumberFormat="1" applyFont="1" applyFill="1" applyBorder="1" applyAlignment="1">
      <alignment horizontal="center" vertical="top" shrinkToFit="1"/>
    </xf>
    <xf numFmtId="166" fontId="12" fillId="3" borderId="117" xfId="0" applyNumberFormat="1" applyFont="1" applyFill="1" applyBorder="1" applyAlignment="1">
      <alignment horizontal="center" vertical="top" shrinkToFit="1"/>
    </xf>
    <xf numFmtId="166" fontId="5" fillId="3" borderId="113" xfId="0" applyNumberFormat="1" applyFont="1" applyFill="1" applyBorder="1" applyAlignment="1">
      <alignment horizontal="center" vertical="top" wrapText="1" shrinkToFit="1"/>
    </xf>
    <xf numFmtId="166" fontId="5" fillId="3" borderId="117" xfId="0" applyNumberFormat="1" applyFont="1" applyFill="1" applyBorder="1" applyAlignment="1">
      <alignment horizontal="center" vertical="top" wrapText="1" shrinkToFit="1"/>
    </xf>
    <xf numFmtId="166" fontId="62" fillId="3" borderId="113" xfId="0" applyNumberFormat="1" applyFont="1" applyFill="1" applyBorder="1" applyAlignment="1">
      <alignment horizontal="center" vertical="center" shrinkToFit="1"/>
    </xf>
    <xf numFmtId="166" fontId="62" fillId="3" borderId="4" xfId="0" applyNumberFormat="1" applyFont="1" applyFill="1" applyBorder="1" applyAlignment="1">
      <alignment horizontal="center" vertical="center" shrinkToFit="1"/>
    </xf>
    <xf numFmtId="166" fontId="62" fillId="3" borderId="117" xfId="0" applyNumberFormat="1" applyFont="1" applyFill="1" applyBorder="1" applyAlignment="1">
      <alignment horizontal="center" vertical="center" shrinkToFit="1"/>
    </xf>
    <xf numFmtId="166" fontId="4" fillId="3" borderId="0" xfId="0" applyNumberFormat="1" applyFont="1" applyFill="1" applyAlignment="1">
      <alignment horizontal="left" vertical="top"/>
    </xf>
    <xf numFmtId="166" fontId="2" fillId="3" borderId="0" xfId="0" applyNumberFormat="1" applyFont="1" applyFill="1" applyAlignment="1">
      <alignment horizontal="left" vertical="center"/>
    </xf>
    <xf numFmtId="166" fontId="12" fillId="0" borderId="0" xfId="0" applyNumberFormat="1" applyFont="1" applyAlignment="1">
      <alignment horizontal="center" vertical="top" shrinkToFit="1"/>
    </xf>
    <xf numFmtId="166" fontId="54" fillId="3" borderId="0" xfId="0" applyNumberFormat="1" applyFont="1" applyFill="1" applyAlignment="1">
      <alignment horizontal="left" vertical="center"/>
    </xf>
    <xf numFmtId="166" fontId="4" fillId="3" borderId="0" xfId="0" applyNumberFormat="1" applyFont="1" applyFill="1" applyAlignment="1">
      <alignment horizontal="left" vertical="center" indent="1"/>
    </xf>
    <xf numFmtId="166" fontId="67" fillId="3" borderId="0" xfId="0" applyNumberFormat="1" applyFont="1" applyFill="1" applyAlignment="1">
      <alignment horizontal="center" vertical="center"/>
    </xf>
    <xf numFmtId="169" fontId="4" fillId="3" borderId="0" xfId="0" applyNumberFormat="1" applyFont="1" applyFill="1" applyAlignment="1">
      <alignment horizontal="right"/>
    </xf>
    <xf numFmtId="166" fontId="4" fillId="3" borderId="0" xfId="0" applyNumberFormat="1" applyFont="1" applyFill="1" applyAlignment="1">
      <alignment horizontal="right" vertical="center"/>
    </xf>
    <xf numFmtId="169" fontId="3" fillId="3" borderId="0" xfId="0" applyNumberFormat="1" applyFont="1" applyFill="1" applyAlignment="1">
      <alignment horizontal="right" wrapText="1"/>
    </xf>
    <xf numFmtId="166" fontId="3" fillId="0" borderId="0" xfId="0" applyNumberFormat="1" applyFont="1" applyAlignment="1">
      <alignment horizontal="right" vertical="center"/>
    </xf>
    <xf numFmtId="164" fontId="3" fillId="3" borderId="107" xfId="0" applyNumberFormat="1" applyFont="1" applyFill="1" applyBorder="1" applyAlignment="1">
      <alignment horizontal="left" vertical="center"/>
    </xf>
    <xf numFmtId="166" fontId="4" fillId="3" borderId="0" xfId="0" applyNumberFormat="1" applyFont="1" applyFill="1" applyAlignment="1">
      <alignment horizontal="right"/>
    </xf>
    <xf numFmtId="166" fontId="4" fillId="3" borderId="0" xfId="0" applyNumberFormat="1" applyFont="1" applyFill="1" applyAlignment="1">
      <alignment horizontal="right" vertical="center" shrinkToFit="1"/>
    </xf>
    <xf numFmtId="166" fontId="4" fillId="3" borderId="0" xfId="0" applyNumberFormat="1" applyFont="1" applyFill="1" applyAlignment="1">
      <alignment horizontal="center"/>
    </xf>
    <xf numFmtId="166" fontId="65" fillId="3" borderId="0" xfId="0" applyNumberFormat="1" applyFont="1" applyFill="1" applyAlignment="1">
      <alignment horizontal="right"/>
    </xf>
    <xf numFmtId="166" fontId="2" fillId="3" borderId="107" xfId="0" applyNumberFormat="1" applyFont="1" applyFill="1" applyBorder="1" applyAlignment="1">
      <alignment horizontal="center" vertical="center"/>
    </xf>
    <xf numFmtId="166" fontId="4" fillId="3" borderId="0" xfId="0" applyNumberFormat="1" applyFont="1" applyFill="1" applyAlignment="1">
      <alignment horizontal="left" vertical="center"/>
    </xf>
    <xf numFmtId="166" fontId="7" fillId="3" borderId="0" xfId="0" applyNumberFormat="1" applyFont="1" applyFill="1" applyAlignment="1">
      <alignment horizontal="center" vertical="center"/>
    </xf>
    <xf numFmtId="166" fontId="52" fillId="3" borderId="113" xfId="0" applyNumberFormat="1" applyFont="1" applyFill="1" applyBorder="1" applyAlignment="1">
      <alignment horizontal="center" vertical="top" shrinkToFit="1"/>
    </xf>
    <xf numFmtId="166" fontId="52" fillId="3" borderId="4" xfId="0" applyNumberFormat="1" applyFont="1" applyFill="1" applyBorder="1" applyAlignment="1">
      <alignment horizontal="center" vertical="top" shrinkToFit="1"/>
    </xf>
    <xf numFmtId="166" fontId="52" fillId="3" borderId="117" xfId="0" applyNumberFormat="1" applyFont="1" applyFill="1" applyBorder="1" applyAlignment="1">
      <alignment horizontal="center" vertical="top" shrinkToFit="1"/>
    </xf>
    <xf numFmtId="166" fontId="3" fillId="3" borderId="4" xfId="0" applyNumberFormat="1" applyFont="1" applyFill="1" applyBorder="1" applyAlignment="1">
      <alignment horizontal="left" vertical="top"/>
    </xf>
    <xf numFmtId="49" fontId="3" fillId="3" borderId="0" xfId="0" applyNumberFormat="1" applyFont="1" applyFill="1" applyAlignment="1">
      <alignment horizontal="left" vertical="center"/>
    </xf>
    <xf numFmtId="166" fontId="3" fillId="3" borderId="0" xfId="0" applyNumberFormat="1" applyFont="1" applyFill="1" applyAlignment="1">
      <alignment horizontal="center"/>
    </xf>
    <xf numFmtId="166" fontId="3" fillId="3" borderId="107" xfId="0" applyNumberFormat="1" applyFont="1" applyFill="1" applyBorder="1" applyAlignment="1">
      <alignment horizontal="center" vertical="center" shrinkToFit="1"/>
    </xf>
    <xf numFmtId="166" fontId="3" fillId="3" borderId="0" xfId="0" applyNumberFormat="1" applyFont="1" applyFill="1" applyAlignment="1">
      <alignment horizontal="left" vertical="top"/>
    </xf>
    <xf numFmtId="166" fontId="3" fillId="3" borderId="103" xfId="0" applyNumberFormat="1" applyFont="1" applyFill="1" applyBorder="1" applyAlignment="1">
      <alignment horizontal="center"/>
    </xf>
    <xf numFmtId="166" fontId="3" fillId="3" borderId="116" xfId="0" applyNumberFormat="1" applyFont="1" applyFill="1" applyBorder="1" applyAlignment="1">
      <alignment horizontal="center"/>
    </xf>
    <xf numFmtId="166" fontId="3" fillId="3" borderId="105" xfId="0" applyNumberFormat="1" applyFont="1" applyFill="1" applyBorder="1" applyAlignment="1">
      <alignment horizontal="center"/>
    </xf>
    <xf numFmtId="166" fontId="52" fillId="0" borderId="106" xfId="0" applyNumberFormat="1" applyFont="1" applyBorder="1" applyAlignment="1">
      <alignment horizontal="center" vertical="top"/>
    </xf>
    <xf numFmtId="166" fontId="52" fillId="0" borderId="107" xfId="0" applyNumberFormat="1" applyFont="1" applyBorder="1" applyAlignment="1">
      <alignment horizontal="center" vertical="top"/>
    </xf>
    <xf numFmtId="166" fontId="52" fillId="0" borderId="108" xfId="0" applyNumberFormat="1" applyFont="1" applyBorder="1" applyAlignment="1">
      <alignment horizontal="center" vertical="top"/>
    </xf>
    <xf numFmtId="166" fontId="52" fillId="3" borderId="109" xfId="0" applyNumberFormat="1" applyFont="1" applyFill="1" applyBorder="1" applyAlignment="1">
      <alignment horizontal="center" vertical="top"/>
    </xf>
    <xf numFmtId="166" fontId="52" fillId="3" borderId="107" xfId="0" applyNumberFormat="1" applyFont="1" applyFill="1" applyBorder="1" applyAlignment="1">
      <alignment horizontal="center" vertical="top"/>
    </xf>
    <xf numFmtId="166" fontId="52" fillId="3" borderId="108" xfId="0" applyNumberFormat="1" applyFont="1" applyFill="1" applyBorder="1" applyAlignment="1">
      <alignment horizontal="center" vertical="top"/>
    </xf>
    <xf numFmtId="166" fontId="3" fillId="3" borderId="114" xfId="0" applyNumberFormat="1" applyFont="1" applyFill="1" applyBorder="1" applyAlignment="1">
      <alignment horizontal="center"/>
    </xf>
    <xf numFmtId="166" fontId="3" fillId="3" borderId="111" xfId="0" applyNumberFormat="1" applyFont="1" applyFill="1" applyBorder="1" applyAlignment="1">
      <alignment horizontal="center"/>
    </xf>
    <xf numFmtId="166" fontId="3" fillId="3" borderId="115" xfId="0" applyNumberFormat="1" applyFont="1" applyFill="1" applyBorder="1" applyAlignment="1">
      <alignment horizontal="center"/>
    </xf>
    <xf numFmtId="166" fontId="3" fillId="3" borderId="110" xfId="0" applyNumberFormat="1" applyFont="1" applyFill="1" applyBorder="1" applyAlignment="1">
      <alignment horizontal="center"/>
    </xf>
    <xf numFmtId="166" fontId="4" fillId="3" borderId="111" xfId="0" applyNumberFormat="1" applyFont="1" applyFill="1" applyBorder="1" applyAlignment="1">
      <alignment horizontal="left"/>
    </xf>
    <xf numFmtId="166" fontId="57" fillId="3" borderId="111" xfId="0" applyNumberFormat="1" applyFont="1" applyFill="1" applyBorder="1" applyAlignment="1">
      <alignment horizontal="center" vertical="center"/>
    </xf>
    <xf numFmtId="166" fontId="57" fillId="3" borderId="4" xfId="0" applyNumberFormat="1" applyFont="1" applyFill="1" applyBorder="1" applyAlignment="1">
      <alignment horizontal="center" vertical="center"/>
    </xf>
    <xf numFmtId="166" fontId="3" fillId="3" borderId="0" xfId="0" applyNumberFormat="1" applyFont="1" applyFill="1" applyAlignment="1">
      <alignment horizontal="center" vertical="top"/>
    </xf>
    <xf numFmtId="165" fontId="3" fillId="3" borderId="4" xfId="0" applyNumberFormat="1" applyFont="1" applyFill="1" applyBorder="1" applyAlignment="1">
      <alignment horizontal="center"/>
    </xf>
    <xf numFmtId="166" fontId="2" fillId="3" borderId="0" xfId="0" applyNumberFormat="1" applyFont="1" applyFill="1" applyAlignment="1">
      <alignment horizontal="left" indent="1"/>
    </xf>
    <xf numFmtId="166" fontId="2" fillId="3" borderId="107" xfId="0" applyNumberFormat="1" applyFont="1" applyFill="1" applyBorder="1" applyAlignment="1">
      <alignment horizontal="left" indent="1"/>
    </xf>
    <xf numFmtId="169" fontId="5" fillId="3" borderId="113" xfId="0" applyNumberFormat="1" applyFont="1" applyFill="1" applyBorder="1" applyAlignment="1">
      <alignment horizontal="center" vertical="top" shrinkToFit="1"/>
    </xf>
    <xf numFmtId="169" fontId="5" fillId="3" borderId="4" xfId="0" applyNumberFormat="1" applyFont="1" applyFill="1" applyBorder="1" applyAlignment="1">
      <alignment horizontal="center" vertical="top" shrinkToFit="1"/>
    </xf>
    <xf numFmtId="169" fontId="5" fillId="3" borderId="117" xfId="0" applyNumberFormat="1" applyFont="1" applyFill="1" applyBorder="1" applyAlignment="1">
      <alignment horizontal="center" vertical="top" shrinkToFit="1"/>
    </xf>
    <xf numFmtId="166" fontId="5" fillId="3" borderId="4" xfId="0" applyNumberFormat="1" applyFont="1" applyFill="1" applyBorder="1" applyAlignment="1">
      <alignment horizontal="center" vertical="top" wrapText="1" shrinkToFit="1"/>
    </xf>
    <xf numFmtId="166" fontId="5" fillId="3" borderId="5" xfId="0" applyNumberFormat="1" applyFont="1" applyFill="1" applyBorder="1" applyAlignment="1">
      <alignment horizontal="center" vertical="top" wrapText="1" shrinkToFit="1"/>
    </xf>
    <xf numFmtId="164" fontId="12" fillId="0" borderId="132" xfId="0" applyNumberFormat="1" applyFont="1" applyBorder="1" applyAlignment="1">
      <alignment horizontal="center" vertical="center" shrinkToFit="1"/>
    </xf>
    <xf numFmtId="164" fontId="5" fillId="3" borderId="132" xfId="0" applyNumberFormat="1" applyFont="1" applyFill="1" applyBorder="1" applyAlignment="1">
      <alignment horizontal="left" vertical="center" wrapText="1" shrinkToFit="1"/>
    </xf>
    <xf numFmtId="166" fontId="12" fillId="3" borderId="76" xfId="0" applyNumberFormat="1" applyFont="1" applyFill="1" applyBorder="1" applyAlignment="1">
      <alignment horizontal="center" shrinkToFit="1"/>
    </xf>
    <xf numFmtId="166" fontId="12" fillId="3" borderId="0" xfId="0" applyNumberFormat="1" applyFont="1" applyFill="1" applyAlignment="1">
      <alignment horizontal="center" shrinkToFit="1"/>
    </xf>
    <xf numFmtId="166" fontId="12" fillId="3" borderId="118" xfId="0" applyNumberFormat="1" applyFont="1" applyFill="1" applyBorder="1" applyAlignment="1">
      <alignment horizontal="center" shrinkToFit="1"/>
    </xf>
    <xf numFmtId="166" fontId="5" fillId="3" borderId="112" xfId="0" applyNumberFormat="1" applyFont="1" applyFill="1" applyBorder="1" applyAlignment="1">
      <alignment horizontal="center" vertical="center" shrinkToFit="1"/>
    </xf>
    <xf numFmtId="166" fontId="5" fillId="3" borderId="118" xfId="0" applyNumberFormat="1" applyFont="1" applyFill="1" applyBorder="1" applyAlignment="1">
      <alignment horizontal="center" vertical="center" shrinkToFit="1"/>
    </xf>
    <xf numFmtId="168" fontId="5" fillId="3" borderId="112" xfId="0" applyNumberFormat="1" applyFont="1" applyFill="1" applyBorder="1" applyAlignment="1">
      <alignment horizontal="center" vertical="center"/>
    </xf>
    <xf numFmtId="168" fontId="5" fillId="3" borderId="0" xfId="0" applyNumberFormat="1" applyFont="1" applyFill="1" applyAlignment="1">
      <alignment horizontal="center" vertical="center"/>
    </xf>
    <xf numFmtId="168" fontId="5" fillId="3" borderId="118" xfId="0" applyNumberFormat="1" applyFont="1" applyFill="1" applyBorder="1" applyAlignment="1">
      <alignment horizontal="center" vertical="center"/>
    </xf>
    <xf numFmtId="169" fontId="5" fillId="3" borderId="112" xfId="0" applyNumberFormat="1" applyFont="1" applyFill="1" applyBorder="1" applyAlignment="1">
      <alignment horizontal="center" shrinkToFit="1"/>
    </xf>
    <xf numFmtId="169" fontId="5" fillId="3" borderId="0" xfId="0" applyNumberFormat="1" applyFont="1" applyFill="1" applyAlignment="1">
      <alignment horizontal="center" shrinkToFit="1"/>
    </xf>
    <xf numFmtId="169" fontId="5" fillId="3" borderId="118" xfId="0" applyNumberFormat="1" applyFont="1" applyFill="1" applyBorder="1" applyAlignment="1">
      <alignment horizontal="center" shrinkToFit="1"/>
    </xf>
    <xf numFmtId="166" fontId="12" fillId="3" borderId="112" xfId="0" applyNumberFormat="1" applyFont="1" applyFill="1" applyBorder="1" applyAlignment="1">
      <alignment horizontal="center" shrinkToFit="1"/>
    </xf>
    <xf numFmtId="166" fontId="12" fillId="3" borderId="2" xfId="0" applyNumberFormat="1" applyFont="1" applyFill="1" applyBorder="1" applyAlignment="1">
      <alignment horizontal="center" shrinkToFit="1"/>
    </xf>
    <xf numFmtId="169" fontId="12" fillId="3" borderId="46" xfId="0" applyNumberFormat="1" applyFont="1" applyFill="1" applyBorder="1" applyAlignment="1">
      <alignment horizontal="center" vertical="top"/>
    </xf>
    <xf numFmtId="169" fontId="12" fillId="3" borderId="4" xfId="0" applyNumberFormat="1" applyFont="1" applyFill="1" applyBorder="1" applyAlignment="1">
      <alignment horizontal="center" vertical="top"/>
    </xf>
    <xf numFmtId="169" fontId="12" fillId="3" borderId="113" xfId="0" applyNumberFormat="1" applyFont="1" applyFill="1" applyBorder="1" applyAlignment="1">
      <alignment horizontal="center" vertical="top" wrapText="1"/>
    </xf>
    <xf numFmtId="169" fontId="12" fillId="3" borderId="4" xfId="0" applyNumberFormat="1" applyFont="1" applyFill="1" applyBorder="1" applyAlignment="1">
      <alignment horizontal="center" vertical="top" wrapText="1"/>
    </xf>
    <xf numFmtId="169" fontId="12" fillId="3" borderId="117" xfId="0" applyNumberFormat="1" applyFont="1" applyFill="1" applyBorder="1" applyAlignment="1">
      <alignment horizontal="center" vertical="top" wrapText="1"/>
    </xf>
    <xf numFmtId="169" fontId="63" fillId="3" borderId="4" xfId="0" applyNumberFormat="1" applyFont="1" applyFill="1" applyBorder="1" applyAlignment="1">
      <alignment horizontal="center" vertical="top" wrapText="1"/>
    </xf>
    <xf numFmtId="169" fontId="63" fillId="3" borderId="5" xfId="0" applyNumberFormat="1" applyFont="1" applyFill="1" applyBorder="1" applyAlignment="1">
      <alignment horizontal="center" vertical="top" wrapText="1"/>
    </xf>
    <xf numFmtId="166" fontId="54" fillId="0" borderId="0" xfId="0" applyNumberFormat="1" applyFont="1" applyAlignment="1">
      <alignment horizontal="left"/>
    </xf>
    <xf numFmtId="166" fontId="4" fillId="3" borderId="103" xfId="0" applyNumberFormat="1" applyFont="1" applyFill="1" applyBorder="1" applyAlignment="1">
      <alignment horizontal="center"/>
    </xf>
    <xf numFmtId="166" fontId="4" fillId="3" borderId="104" xfId="0" applyNumberFormat="1" applyFont="1" applyFill="1" applyBorder="1" applyAlignment="1">
      <alignment horizontal="center"/>
    </xf>
    <xf numFmtId="166" fontId="4" fillId="3" borderId="105" xfId="0" applyNumberFormat="1" applyFont="1" applyFill="1" applyBorder="1" applyAlignment="1">
      <alignment horizontal="center" wrapText="1"/>
    </xf>
    <xf numFmtId="166" fontId="4" fillId="3" borderId="104" xfId="0" applyNumberFormat="1" applyFont="1" applyFill="1" applyBorder="1" applyAlignment="1">
      <alignment horizontal="center" wrapText="1"/>
    </xf>
    <xf numFmtId="166" fontId="4" fillId="3" borderId="116" xfId="0" applyNumberFormat="1" applyFont="1" applyFill="1" applyBorder="1" applyAlignment="1">
      <alignment horizontal="center" wrapText="1"/>
    </xf>
    <xf numFmtId="49" fontId="4" fillId="3" borderId="105" xfId="0" applyNumberFormat="1" applyFont="1" applyFill="1" applyBorder="1" applyAlignment="1">
      <alignment horizontal="center" wrapText="1"/>
    </xf>
    <xf numFmtId="49" fontId="4" fillId="3" borderId="104" xfId="0" applyNumberFormat="1" applyFont="1" applyFill="1" applyBorder="1" applyAlignment="1">
      <alignment horizontal="center" wrapText="1"/>
    </xf>
    <xf numFmtId="49" fontId="4" fillId="3" borderId="116" xfId="0" applyNumberFormat="1" applyFont="1" applyFill="1" applyBorder="1" applyAlignment="1">
      <alignment horizontal="center" wrapText="1"/>
    </xf>
    <xf numFmtId="166" fontId="59" fillId="3" borderId="104" xfId="0" applyNumberFormat="1" applyFont="1" applyFill="1" applyBorder="1" applyAlignment="1">
      <alignment horizontal="center" wrapText="1"/>
    </xf>
    <xf numFmtId="166" fontId="59" fillId="3" borderId="96" xfId="0" applyNumberFormat="1" applyFont="1" applyFill="1" applyBorder="1" applyAlignment="1">
      <alignment horizontal="center" wrapText="1"/>
    </xf>
    <xf numFmtId="173" fontId="2" fillId="0" borderId="104" xfId="0" applyNumberFormat="1" applyFont="1" applyBorder="1" applyAlignment="1">
      <alignment horizontal="right" vertical="center"/>
    </xf>
    <xf numFmtId="173" fontId="2" fillId="0" borderId="4" xfId="0" applyNumberFormat="1" applyFont="1" applyBorder="1" applyAlignment="1">
      <alignment horizontal="right" vertical="center"/>
    </xf>
    <xf numFmtId="166" fontId="54" fillId="0" borderId="0" xfId="0" applyNumberFormat="1" applyFont="1" applyAlignment="1">
      <alignment horizontal="left" vertical="center"/>
    </xf>
    <xf numFmtId="165" fontId="5" fillId="3" borderId="125" xfId="0" applyNumberFormat="1" applyFont="1" applyFill="1" applyBorder="1" applyAlignment="1">
      <alignment horizontal="left" vertical="center" indent="1"/>
    </xf>
    <xf numFmtId="166" fontId="5" fillId="0" borderId="125" xfId="0" applyNumberFormat="1" applyFont="1" applyBorder="1" applyAlignment="1">
      <alignment horizontal="left" vertical="center" indent="1"/>
    </xf>
    <xf numFmtId="166" fontId="5" fillId="0" borderId="135" xfId="0" applyNumberFormat="1" applyFont="1" applyBorder="1" applyAlignment="1">
      <alignment horizontal="left" vertical="center" indent="1"/>
    </xf>
    <xf numFmtId="165" fontId="5" fillId="3" borderId="132" xfId="0" applyNumberFormat="1" applyFont="1" applyFill="1" applyBorder="1" applyAlignment="1">
      <alignment horizontal="left" vertical="center" indent="1"/>
    </xf>
    <xf numFmtId="166" fontId="5" fillId="0" borderId="132" xfId="0" applyNumberFormat="1" applyFont="1" applyBorder="1" applyAlignment="1">
      <alignment horizontal="left" vertical="center" indent="1"/>
    </xf>
    <xf numFmtId="166" fontId="5" fillId="0" borderId="136" xfId="0" applyNumberFormat="1" applyFont="1" applyBorder="1" applyAlignment="1">
      <alignment horizontal="left" vertical="center" indent="1"/>
    </xf>
    <xf numFmtId="165" fontId="5" fillId="3" borderId="129" xfId="0" applyNumberFormat="1" applyFont="1" applyFill="1" applyBorder="1" applyAlignment="1">
      <alignment horizontal="left" vertical="center" indent="1"/>
    </xf>
    <xf numFmtId="166" fontId="5" fillId="0" borderId="129" xfId="0" applyNumberFormat="1" applyFont="1" applyBorder="1" applyAlignment="1">
      <alignment horizontal="left" vertical="center" indent="1"/>
    </xf>
    <xf numFmtId="166" fontId="5" fillId="0" borderId="137" xfId="0" applyNumberFormat="1" applyFont="1" applyBorder="1" applyAlignment="1">
      <alignment horizontal="left" vertical="center" indent="1"/>
    </xf>
    <xf numFmtId="166" fontId="5" fillId="0" borderId="125" xfId="0" applyNumberFormat="1" applyFont="1" applyBorder="1" applyAlignment="1">
      <alignment horizontal="left" vertical="center" indent="1" shrinkToFit="1"/>
    </xf>
    <xf numFmtId="166" fontId="5" fillId="0" borderId="125" xfId="0" applyNumberFormat="1" applyFont="1" applyBorder="1" applyAlignment="1">
      <alignment horizontal="left" vertical="center" shrinkToFit="1"/>
    </xf>
    <xf numFmtId="166" fontId="5" fillId="0" borderId="159" xfId="0" applyNumberFormat="1" applyFont="1" applyBorder="1" applyAlignment="1">
      <alignment horizontal="left" vertical="center" indent="1" shrinkToFit="1"/>
    </xf>
    <xf numFmtId="166" fontId="5" fillId="0" borderId="160" xfId="0" applyNumberFormat="1" applyFont="1" applyBorder="1" applyAlignment="1">
      <alignment horizontal="left" vertical="center" indent="1" shrinkToFit="1"/>
    </xf>
    <xf numFmtId="166" fontId="5" fillId="0" borderId="161" xfId="0" applyNumberFormat="1" applyFont="1" applyBorder="1" applyAlignment="1">
      <alignment horizontal="left" vertical="center" indent="1" shrinkToFit="1"/>
    </xf>
    <xf numFmtId="166" fontId="5" fillId="0" borderId="132" xfId="0" applyNumberFormat="1" applyFont="1" applyBorder="1" applyAlignment="1">
      <alignment horizontal="left" vertical="center" shrinkToFit="1"/>
    </xf>
    <xf numFmtId="166" fontId="4" fillId="3" borderId="111" xfId="0" applyNumberFormat="1" applyFont="1" applyFill="1" applyBorder="1" applyAlignment="1">
      <alignment horizontal="center"/>
    </xf>
    <xf numFmtId="166" fontId="5" fillId="0" borderId="129" xfId="0" applyNumberFormat="1" applyFont="1" applyBorder="1" applyAlignment="1">
      <alignment horizontal="left" vertical="center" indent="1" shrinkToFit="1"/>
    </xf>
    <xf numFmtId="166" fontId="5" fillId="0" borderId="129" xfId="0" applyNumberFormat="1" applyFont="1" applyBorder="1" applyAlignment="1">
      <alignment horizontal="left" vertical="center" shrinkToFit="1"/>
    </xf>
    <xf numFmtId="166" fontId="5" fillId="0" borderId="129" xfId="0" applyNumberFormat="1" applyFont="1" applyBorder="1" applyAlignment="1">
      <alignment horizontal="left" vertical="center" wrapText="1" indent="1" shrinkToFit="1"/>
    </xf>
    <xf numFmtId="166" fontId="59" fillId="3" borderId="110" xfId="0" applyNumberFormat="1" applyFont="1" applyFill="1" applyBorder="1" applyAlignment="1">
      <alignment horizontal="center" vertical="center"/>
    </xf>
    <xf numFmtId="166" fontId="59" fillId="3" borderId="111" xfId="0" applyNumberFormat="1" applyFont="1" applyFill="1" applyBorder="1" applyAlignment="1">
      <alignment horizontal="center" vertical="center"/>
    </xf>
    <xf numFmtId="166" fontId="4" fillId="3" borderId="2" xfId="0" applyNumberFormat="1" applyFont="1" applyFill="1" applyBorder="1" applyAlignment="1">
      <alignment horizontal="left" vertical="top"/>
    </xf>
    <xf numFmtId="166" fontId="4" fillId="3" borderId="46" xfId="0" applyNumberFormat="1" applyFont="1" applyFill="1" applyBorder="1" applyAlignment="1">
      <alignment horizontal="center" vertical="top"/>
    </xf>
    <xf numFmtId="166" fontId="4" fillId="3" borderId="4" xfId="0" applyNumberFormat="1" applyFont="1" applyFill="1" applyBorder="1" applyAlignment="1">
      <alignment horizontal="center" vertical="top"/>
    </xf>
    <xf numFmtId="166" fontId="4" fillId="3" borderId="117" xfId="0" applyNumberFormat="1" applyFont="1" applyFill="1" applyBorder="1" applyAlignment="1">
      <alignment horizontal="center" vertical="top"/>
    </xf>
    <xf numFmtId="166" fontId="59" fillId="3" borderId="113" xfId="0" applyNumberFormat="1" applyFont="1" applyFill="1" applyBorder="1" applyAlignment="1">
      <alignment horizontal="center" vertical="top"/>
    </xf>
    <xf numFmtId="166" fontId="59" fillId="3" borderId="4" xfId="0" applyNumberFormat="1" applyFont="1" applyFill="1" applyBorder="1" applyAlignment="1">
      <alignment horizontal="center" vertical="top"/>
    </xf>
    <xf numFmtId="166" fontId="3" fillId="3" borderId="115" xfId="0" applyNumberFormat="1" applyFont="1" applyFill="1" applyBorder="1" applyAlignment="1">
      <alignment horizontal="center" vertical="center"/>
    </xf>
    <xf numFmtId="166" fontId="3" fillId="3" borderId="117" xfId="0" applyNumberFormat="1" applyFont="1" applyFill="1" applyBorder="1" applyAlignment="1">
      <alignment horizontal="center" vertical="center"/>
    </xf>
    <xf numFmtId="166" fontId="3" fillId="0" borderId="111" xfId="0" applyNumberFormat="1" applyFont="1" applyBorder="1" applyAlignment="1">
      <alignment horizontal="right" vertical="center"/>
    </xf>
    <xf numFmtId="166" fontId="3" fillId="0" borderId="4" xfId="0" applyNumberFormat="1" applyFont="1" applyBorder="1" applyAlignment="1">
      <alignment horizontal="right" vertical="center"/>
    </xf>
    <xf numFmtId="166" fontId="52" fillId="3" borderId="0" xfId="0" applyNumberFormat="1" applyFont="1" applyFill="1" applyAlignment="1">
      <alignment horizontal="right"/>
    </xf>
    <xf numFmtId="166" fontId="3" fillId="3" borderId="0" xfId="0" applyNumberFormat="1" applyFont="1" applyFill="1" applyAlignment="1">
      <alignment horizontal="right" vertical="top"/>
    </xf>
    <xf numFmtId="166" fontId="4" fillId="3" borderId="114" xfId="0" applyNumberFormat="1" applyFont="1" applyFill="1" applyBorder="1" applyAlignment="1">
      <alignment horizontal="center" wrapText="1"/>
    </xf>
    <xf numFmtId="166" fontId="4" fillId="3" borderId="106" xfId="0" applyNumberFormat="1" applyFont="1" applyFill="1" applyBorder="1" applyAlignment="1">
      <alignment horizontal="center" vertical="top" wrapText="1"/>
    </xf>
    <xf numFmtId="166" fontId="4" fillId="3" borderId="107" xfId="0" applyNumberFormat="1" applyFont="1" applyFill="1" applyBorder="1" applyAlignment="1">
      <alignment horizontal="center" vertical="top" wrapText="1"/>
    </xf>
    <xf numFmtId="166" fontId="4" fillId="3" borderId="108" xfId="0" applyNumberFormat="1" applyFont="1" applyFill="1" applyBorder="1" applyAlignment="1">
      <alignment horizontal="center" vertical="top" wrapText="1"/>
    </xf>
    <xf numFmtId="166" fontId="3" fillId="0" borderId="122" xfId="0" applyNumberFormat="1" applyFont="1" applyBorder="1" applyAlignment="1">
      <alignment horizontal="left" vertical="center" indent="1" shrinkToFit="1"/>
    </xf>
    <xf numFmtId="166" fontId="57" fillId="3" borderId="107" xfId="0" applyNumberFormat="1" applyFont="1" applyFill="1" applyBorder="1" applyAlignment="1">
      <alignment horizontal="center" vertical="top"/>
    </xf>
    <xf numFmtId="166" fontId="3" fillId="0" borderId="120" xfId="0" applyNumberFormat="1" applyFont="1" applyBorder="1" applyAlignment="1">
      <alignment horizontal="left" vertical="center" shrinkToFit="1"/>
    </xf>
    <xf numFmtId="166" fontId="3" fillId="0" borderId="5" xfId="0" applyNumberFormat="1" applyFont="1" applyBorder="1" applyAlignment="1">
      <alignment horizontal="left" vertical="center" shrinkToFit="1"/>
    </xf>
    <xf numFmtId="164" fontId="4" fillId="3" borderId="0" xfId="0" applyNumberFormat="1" applyFont="1" applyFill="1" applyAlignment="1">
      <alignment horizontal="center" vertical="center" wrapText="1" shrinkToFit="1"/>
    </xf>
    <xf numFmtId="166" fontId="4" fillId="3" borderId="114" xfId="0" applyNumberFormat="1" applyFont="1" applyFill="1" applyBorder="1" applyAlignment="1">
      <alignment horizontal="center"/>
    </xf>
    <xf numFmtId="166" fontId="4" fillId="3" borderId="115" xfId="0" applyNumberFormat="1" applyFont="1" applyFill="1" applyBorder="1" applyAlignment="1">
      <alignment horizontal="center"/>
    </xf>
    <xf numFmtId="166" fontId="4" fillId="3" borderId="112" xfId="0" applyNumberFormat="1" applyFont="1" applyFill="1" applyBorder="1" applyAlignment="1">
      <alignment horizontal="left" vertical="center" indent="1"/>
    </xf>
    <xf numFmtId="166" fontId="4" fillId="3" borderId="2" xfId="0" applyNumberFormat="1" applyFont="1" applyFill="1" applyBorder="1" applyAlignment="1">
      <alignment horizontal="left" vertical="center" indent="1"/>
    </xf>
    <xf numFmtId="170" fontId="4" fillId="3" borderId="112" xfId="0" applyNumberFormat="1" applyFont="1" applyFill="1" applyBorder="1" applyAlignment="1">
      <alignment horizontal="left" vertical="center" indent="1"/>
    </xf>
    <xf numFmtId="170" fontId="4" fillId="3" borderId="0" xfId="0" applyNumberFormat="1" applyFont="1" applyFill="1" applyAlignment="1">
      <alignment horizontal="left" vertical="center" indent="1"/>
    </xf>
    <xf numFmtId="170" fontId="4" fillId="3" borderId="118" xfId="0" applyNumberFormat="1" applyFont="1" applyFill="1" applyBorder="1" applyAlignment="1">
      <alignment horizontal="left" vertical="center" indent="1"/>
    </xf>
    <xf numFmtId="166" fontId="4" fillId="3" borderId="118" xfId="0" applyNumberFormat="1" applyFont="1" applyFill="1" applyBorder="1" applyAlignment="1">
      <alignment horizontal="left" vertical="center" indent="1"/>
    </xf>
    <xf numFmtId="166" fontId="4" fillId="3" borderId="0" xfId="0" applyNumberFormat="1" applyFont="1" applyFill="1" applyAlignment="1">
      <alignment horizontal="center" vertical="top" shrinkToFit="1"/>
    </xf>
    <xf numFmtId="166" fontId="4" fillId="3" borderId="76" xfId="0" applyNumberFormat="1" applyFont="1" applyFill="1" applyBorder="1" applyAlignment="1">
      <alignment horizontal="center"/>
    </xf>
    <xf numFmtId="166" fontId="4" fillId="3" borderId="118" xfId="0" applyNumberFormat="1" applyFont="1" applyFill="1" applyBorder="1" applyAlignment="1">
      <alignment horizontal="center"/>
    </xf>
    <xf numFmtId="166" fontId="4" fillId="3" borderId="112" xfId="0" applyNumberFormat="1" applyFont="1" applyFill="1" applyBorder="1" applyAlignment="1">
      <alignment horizontal="center"/>
    </xf>
    <xf numFmtId="166" fontId="5" fillId="3" borderId="0" xfId="0" applyNumberFormat="1" applyFont="1" applyFill="1" applyAlignment="1">
      <alignment horizontal="left"/>
    </xf>
    <xf numFmtId="166" fontId="5" fillId="3" borderId="2" xfId="0" applyNumberFormat="1" applyFont="1" applyFill="1" applyBorder="1" applyAlignment="1">
      <alignment horizontal="left"/>
    </xf>
    <xf numFmtId="166" fontId="4" fillId="3" borderId="119" xfId="0" applyNumberFormat="1" applyFont="1" applyFill="1" applyBorder="1" applyAlignment="1">
      <alignment horizontal="left" vertical="top"/>
    </xf>
    <xf numFmtId="166" fontId="4" fillId="3" borderId="76" xfId="0" applyNumberFormat="1" applyFont="1" applyFill="1" applyBorder="1" applyAlignment="1">
      <alignment horizontal="center" shrinkToFit="1"/>
    </xf>
    <xf numFmtId="166" fontId="4" fillId="3" borderId="0" xfId="0" applyNumberFormat="1" applyFont="1" applyFill="1" applyAlignment="1">
      <alignment horizontal="center" shrinkToFit="1"/>
    </xf>
    <xf numFmtId="166" fontId="4" fillId="3" borderId="0" xfId="0" applyNumberFormat="1" applyFont="1" applyFill="1" applyAlignment="1">
      <alignment horizontal="center" wrapText="1" shrinkToFit="1"/>
    </xf>
    <xf numFmtId="166" fontId="4" fillId="3" borderId="105" xfId="0" applyNumberFormat="1" applyFont="1" applyFill="1" applyBorder="1" applyAlignment="1">
      <alignment horizontal="left" vertical="center" indent="1"/>
    </xf>
    <xf numFmtId="166" fontId="4" fillId="3" borderId="104" xfId="0" applyNumberFormat="1" applyFont="1" applyFill="1" applyBorder="1" applyAlignment="1">
      <alignment horizontal="left" vertical="center" indent="1"/>
    </xf>
    <xf numFmtId="166" fontId="4" fillId="3" borderId="116" xfId="0" applyNumberFormat="1" applyFont="1" applyFill="1" applyBorder="1" applyAlignment="1">
      <alignment horizontal="left" vertical="center" indent="1"/>
    </xf>
    <xf numFmtId="166" fontId="4" fillId="3" borderId="96" xfId="0" applyNumberFormat="1" applyFont="1" applyFill="1" applyBorder="1" applyAlignment="1">
      <alignment horizontal="left" vertical="center" indent="1"/>
    </xf>
    <xf numFmtId="166" fontId="3" fillId="3" borderId="113" xfId="0" applyNumberFormat="1" applyFont="1" applyFill="1" applyBorder="1" applyAlignment="1">
      <alignment horizontal="left" vertical="center" wrapText="1" indent="1"/>
    </xf>
    <xf numFmtId="166" fontId="3" fillId="3" borderId="4" xfId="0" applyNumberFormat="1" applyFont="1" applyFill="1" applyBorder="1" applyAlignment="1">
      <alignment horizontal="left" vertical="center" wrapText="1" indent="1"/>
    </xf>
    <xf numFmtId="166" fontId="3" fillId="3" borderId="117" xfId="0" applyNumberFormat="1" applyFont="1" applyFill="1" applyBorder="1" applyAlignment="1">
      <alignment horizontal="left" vertical="center" wrapText="1" indent="1"/>
    </xf>
    <xf numFmtId="166" fontId="3" fillId="3" borderId="105" xfId="0" applyNumberFormat="1" applyFont="1" applyFill="1" applyBorder="1" applyAlignment="1">
      <alignment horizontal="left" vertical="center" indent="1"/>
    </xf>
    <xf numFmtId="166" fontId="3" fillId="3" borderId="104" xfId="0" applyNumberFormat="1" applyFont="1" applyFill="1" applyBorder="1" applyAlignment="1">
      <alignment horizontal="left" vertical="center" indent="1"/>
    </xf>
    <xf numFmtId="166" fontId="3" fillId="3" borderId="96" xfId="0" applyNumberFormat="1" applyFont="1" applyFill="1" applyBorder="1" applyAlignment="1">
      <alignment horizontal="left" vertical="center" indent="1"/>
    </xf>
    <xf numFmtId="170" fontId="3" fillId="3" borderId="105" xfId="0" applyNumberFormat="1" applyFont="1" applyFill="1" applyBorder="1" applyAlignment="1">
      <alignment horizontal="left" vertical="center" indent="1"/>
    </xf>
    <xf numFmtId="170" fontId="3" fillId="3" borderId="104" xfId="0" applyNumberFormat="1" applyFont="1" applyFill="1" applyBorder="1" applyAlignment="1">
      <alignment horizontal="left" vertical="center" indent="1"/>
    </xf>
    <xf numFmtId="170" fontId="3" fillId="3" borderId="116" xfId="0" applyNumberFormat="1" applyFont="1" applyFill="1" applyBorder="1" applyAlignment="1">
      <alignment horizontal="left" vertical="center" indent="1"/>
    </xf>
    <xf numFmtId="170" fontId="3" fillId="3" borderId="109" xfId="0" applyNumberFormat="1" applyFont="1" applyFill="1" applyBorder="1" applyAlignment="1">
      <alignment horizontal="left" vertical="center" indent="1"/>
    </xf>
    <xf numFmtId="170" fontId="3" fillId="3" borderId="107" xfId="0" applyNumberFormat="1" applyFont="1" applyFill="1" applyBorder="1" applyAlignment="1">
      <alignment horizontal="left" vertical="center" indent="1"/>
    </xf>
    <xf numFmtId="170" fontId="3" fillId="3" borderId="108" xfId="0" applyNumberFormat="1" applyFont="1" applyFill="1" applyBorder="1" applyAlignment="1">
      <alignment horizontal="left" vertical="center" indent="1"/>
    </xf>
    <xf numFmtId="166" fontId="3" fillId="3" borderId="116" xfId="0" applyNumberFormat="1" applyFont="1" applyFill="1" applyBorder="1" applyAlignment="1">
      <alignment horizontal="left" vertical="center" indent="1"/>
    </xf>
    <xf numFmtId="166" fontId="3" fillId="3" borderId="117" xfId="0" applyNumberFormat="1" applyFont="1" applyFill="1" applyBorder="1" applyAlignment="1">
      <alignment horizontal="left" vertical="center" shrinkToFit="1"/>
    </xf>
    <xf numFmtId="166" fontId="4" fillId="3" borderId="4" xfId="0" applyNumberFormat="1" applyFont="1" applyFill="1" applyBorder="1" applyAlignment="1">
      <alignment horizontal="left" vertical="top" indent="1" shrinkToFit="1"/>
    </xf>
    <xf numFmtId="164" fontId="4" fillId="3" borderId="4" xfId="0" applyNumberFormat="1" applyFont="1" applyFill="1" applyBorder="1" applyAlignment="1">
      <alignment horizontal="left" vertical="top" indent="1" shrinkToFit="1"/>
    </xf>
    <xf numFmtId="164" fontId="4" fillId="3" borderId="117" xfId="0" applyNumberFormat="1" applyFont="1" applyFill="1" applyBorder="1" applyAlignment="1">
      <alignment horizontal="left" vertical="top" indent="1" shrinkToFit="1"/>
    </xf>
    <xf numFmtId="164" fontId="4" fillId="3" borderId="113" xfId="0" applyNumberFormat="1" applyFont="1" applyFill="1" applyBorder="1" applyAlignment="1">
      <alignment horizontal="left" vertical="top" indent="1" shrinkToFit="1"/>
    </xf>
    <xf numFmtId="166" fontId="4" fillId="3" borderId="4" xfId="0" applyNumberFormat="1" applyFont="1" applyFill="1" applyBorder="1" applyAlignment="1">
      <alignment horizontal="right" vertical="center"/>
    </xf>
    <xf numFmtId="166" fontId="4" fillId="3" borderId="116" xfId="0" applyNumberFormat="1" applyFont="1" applyFill="1" applyBorder="1" applyAlignment="1">
      <alignment horizontal="center"/>
    </xf>
    <xf numFmtId="166" fontId="56" fillId="3" borderId="0" xfId="0" applyNumberFormat="1" applyFont="1" applyFill="1" applyAlignment="1">
      <alignment horizontal="center" vertical="center"/>
    </xf>
    <xf numFmtId="166" fontId="56" fillId="3" borderId="4" xfId="0" applyNumberFormat="1" applyFont="1" applyFill="1" applyBorder="1" applyAlignment="1">
      <alignment horizontal="center" vertical="center"/>
    </xf>
    <xf numFmtId="166" fontId="56" fillId="3" borderId="112" xfId="0" applyNumberFormat="1" applyFont="1" applyFill="1" applyBorder="1" applyAlignment="1">
      <alignment horizontal="center" vertical="center"/>
    </xf>
    <xf numFmtId="166" fontId="56" fillId="3" borderId="113" xfId="0" applyNumberFormat="1" applyFont="1" applyFill="1" applyBorder="1" applyAlignment="1">
      <alignment horizontal="center" vertical="center"/>
    </xf>
    <xf numFmtId="166" fontId="3" fillId="3" borderId="107" xfId="0" applyNumberFormat="1" applyFont="1" applyFill="1" applyBorder="1" applyAlignment="1">
      <alignment horizontal="left" vertical="center" shrinkToFit="1"/>
    </xf>
    <xf numFmtId="166" fontId="3" fillId="3" borderId="108" xfId="0" applyNumberFormat="1" applyFont="1" applyFill="1" applyBorder="1" applyAlignment="1">
      <alignment horizontal="left" vertical="center" shrinkToFit="1"/>
    </xf>
    <xf numFmtId="166" fontId="4" fillId="3" borderId="107" xfId="0" applyNumberFormat="1" applyFont="1" applyFill="1" applyBorder="1" applyAlignment="1">
      <alignment horizontal="left" vertical="top" indent="1" shrinkToFit="1"/>
    </xf>
    <xf numFmtId="164" fontId="4" fillId="3" borderId="107" xfId="0" applyNumberFormat="1" applyFont="1" applyFill="1" applyBorder="1" applyAlignment="1">
      <alignment horizontal="left" vertical="top" indent="1" shrinkToFit="1"/>
    </xf>
    <xf numFmtId="164" fontId="4" fillId="3" borderId="108" xfId="0" applyNumberFormat="1" applyFont="1" applyFill="1" applyBorder="1" applyAlignment="1">
      <alignment horizontal="left" vertical="top" indent="1" shrinkToFit="1"/>
    </xf>
    <xf numFmtId="164" fontId="4" fillId="3" borderId="109" xfId="0" applyNumberFormat="1" applyFont="1" applyFill="1" applyBorder="1" applyAlignment="1">
      <alignment horizontal="left" vertical="top" indent="1" shrinkToFit="1"/>
    </xf>
    <xf numFmtId="166" fontId="4" fillId="3" borderId="107" xfId="0" applyNumberFormat="1" applyFont="1" applyFill="1" applyBorder="1" applyAlignment="1">
      <alignment horizontal="right" vertical="center"/>
    </xf>
    <xf numFmtId="166" fontId="3" fillId="3" borderId="111" xfId="0" applyNumberFormat="1" applyFont="1" applyFill="1" applyBorder="1" applyAlignment="1">
      <alignment horizontal="left"/>
    </xf>
    <xf numFmtId="166" fontId="3" fillId="3" borderId="115" xfId="0" applyNumberFormat="1" applyFont="1" applyFill="1" applyBorder="1" applyAlignment="1">
      <alignment horizontal="left"/>
    </xf>
    <xf numFmtId="166" fontId="4" fillId="3" borderId="0" xfId="0" applyNumberFormat="1" applyFont="1" applyFill="1" applyAlignment="1">
      <alignment horizontal="left" indent="1"/>
    </xf>
    <xf numFmtId="49" fontId="4" fillId="3" borderId="0" xfId="0" applyNumberFormat="1" applyFont="1" applyFill="1" applyAlignment="1">
      <alignment horizontal="left" indent="1"/>
    </xf>
    <xf numFmtId="49" fontId="4" fillId="3" borderId="118" xfId="0" applyNumberFormat="1" applyFont="1" applyFill="1" applyBorder="1" applyAlignment="1">
      <alignment horizontal="left" indent="1"/>
    </xf>
    <xf numFmtId="49" fontId="4" fillId="3" borderId="112" xfId="0" applyNumberFormat="1" applyFont="1" applyFill="1" applyBorder="1" applyAlignment="1">
      <alignment horizontal="left" indent="1"/>
    </xf>
    <xf numFmtId="166" fontId="56" fillId="3" borderId="105" xfId="0" applyNumberFormat="1" applyFont="1" applyFill="1" applyBorder="1" applyAlignment="1">
      <alignment horizontal="center" vertical="center"/>
    </xf>
    <xf numFmtId="166" fontId="56" fillId="3" borderId="109" xfId="0" applyNumberFormat="1" applyFont="1" applyFill="1" applyBorder="1" applyAlignment="1">
      <alignment horizontal="center" vertical="center"/>
    </xf>
    <xf numFmtId="166" fontId="4" fillId="3" borderId="0" xfId="0" applyNumberFormat="1" applyFont="1" applyFill="1" applyAlignment="1">
      <alignment horizontal="center" wrapText="1"/>
    </xf>
    <xf numFmtId="166" fontId="3" fillId="3" borderId="104" xfId="0" applyNumberFormat="1" applyFont="1" applyFill="1" applyBorder="1" applyAlignment="1">
      <alignment horizontal="left"/>
    </xf>
    <xf numFmtId="166" fontId="3" fillId="3" borderId="116" xfId="0" applyNumberFormat="1" applyFont="1" applyFill="1" applyBorder="1" applyAlignment="1">
      <alignment horizontal="left"/>
    </xf>
    <xf numFmtId="166" fontId="4" fillId="3" borderId="104" xfId="0" applyNumberFormat="1" applyFont="1" applyFill="1" applyBorder="1" applyAlignment="1">
      <alignment horizontal="left" indent="1"/>
    </xf>
    <xf numFmtId="49" fontId="4" fillId="3" borderId="104" xfId="0" applyNumberFormat="1" applyFont="1" applyFill="1" applyBorder="1" applyAlignment="1">
      <alignment horizontal="left" indent="1"/>
    </xf>
    <xf numFmtId="49" fontId="4" fillId="3" borderId="116" xfId="0" applyNumberFormat="1" applyFont="1" applyFill="1" applyBorder="1" applyAlignment="1">
      <alignment horizontal="left" indent="1"/>
    </xf>
    <xf numFmtId="49" fontId="4" fillId="3" borderId="105" xfId="0" applyNumberFormat="1" applyFont="1" applyFill="1" applyBorder="1" applyAlignment="1">
      <alignment horizontal="left" indent="1"/>
    </xf>
    <xf numFmtId="166" fontId="4" fillId="3" borderId="104" xfId="0" applyNumberFormat="1" applyFont="1" applyFill="1" applyBorder="1" applyAlignment="1">
      <alignment horizontal="right"/>
    </xf>
    <xf numFmtId="166" fontId="4" fillId="3" borderId="76" xfId="0" applyNumberFormat="1" applyFont="1" applyFill="1" applyBorder="1" applyAlignment="1">
      <alignment horizontal="center" vertical="top"/>
    </xf>
    <xf numFmtId="166" fontId="4" fillId="3" borderId="0" xfId="0" applyNumberFormat="1" applyFont="1" applyFill="1" applyAlignment="1">
      <alignment horizontal="center" vertical="top"/>
    </xf>
    <xf numFmtId="166" fontId="4" fillId="3" borderId="106" xfId="0" applyNumberFormat="1" applyFont="1" applyFill="1" applyBorder="1" applyAlignment="1">
      <alignment horizontal="center" vertical="top"/>
    </xf>
    <xf numFmtId="166" fontId="4" fillId="3" borderId="107" xfId="0" applyNumberFormat="1" applyFont="1" applyFill="1" applyBorder="1" applyAlignment="1">
      <alignment horizontal="center" vertical="top"/>
    </xf>
    <xf numFmtId="166" fontId="4" fillId="3" borderId="108" xfId="0" applyNumberFormat="1" applyFont="1" applyFill="1" applyBorder="1" applyAlignment="1">
      <alignment horizontal="center" vertical="top"/>
    </xf>
    <xf numFmtId="166" fontId="4" fillId="3" borderId="109" xfId="0" applyNumberFormat="1" applyFont="1" applyFill="1" applyBorder="1" applyAlignment="1">
      <alignment horizontal="center" vertical="top" wrapText="1"/>
    </xf>
    <xf numFmtId="166" fontId="3" fillId="3" borderId="109" xfId="0" applyNumberFormat="1" applyFont="1" applyFill="1" applyBorder="1" applyAlignment="1">
      <alignment horizontal="center" vertical="center" wrapText="1" shrinkToFit="1"/>
    </xf>
    <xf numFmtId="166" fontId="3" fillId="3" borderId="107" xfId="0" applyNumberFormat="1" applyFont="1" applyFill="1" applyBorder="1" applyAlignment="1">
      <alignment horizontal="center" vertical="center" wrapText="1" shrinkToFit="1"/>
    </xf>
    <xf numFmtId="166" fontId="3" fillId="3" borderId="120" xfId="0" applyNumberFormat="1" applyFont="1" applyFill="1" applyBorder="1" applyAlignment="1">
      <alignment horizontal="left" vertical="center" indent="1" shrinkToFit="1"/>
    </xf>
    <xf numFmtId="164" fontId="3" fillId="3" borderId="120" xfId="0" applyNumberFormat="1" applyFont="1" applyFill="1" applyBorder="1" applyAlignment="1">
      <alignment horizontal="left" vertical="center" wrapText="1" shrinkToFit="1"/>
    </xf>
    <xf numFmtId="164" fontId="3" fillId="3" borderId="119" xfId="0" applyNumberFormat="1" applyFont="1" applyFill="1" applyBorder="1" applyAlignment="1">
      <alignment horizontal="left" vertical="center" wrapText="1" shrinkToFit="1"/>
    </xf>
    <xf numFmtId="166" fontId="4" fillId="3" borderId="76" xfId="0" applyNumberFormat="1" applyFont="1" applyFill="1" applyBorder="1" applyAlignment="1">
      <alignment horizontal="center" vertical="top" wrapText="1"/>
    </xf>
    <xf numFmtId="166" fontId="4" fillId="3" borderId="0" xfId="0" applyNumberFormat="1" applyFont="1" applyFill="1" applyAlignment="1">
      <alignment horizontal="center" vertical="top" wrapText="1"/>
    </xf>
    <xf numFmtId="166" fontId="4" fillId="3" borderId="109" xfId="0" applyNumberFormat="1" applyFont="1" applyFill="1" applyBorder="1" applyAlignment="1">
      <alignment horizontal="center" vertical="top"/>
    </xf>
    <xf numFmtId="166" fontId="4" fillId="3" borderId="110" xfId="0" applyNumberFormat="1" applyFont="1" applyFill="1" applyBorder="1" applyAlignment="1">
      <alignment horizontal="center"/>
    </xf>
    <xf numFmtId="166" fontId="3" fillId="3" borderId="112" xfId="0" applyNumberFormat="1" applyFont="1" applyFill="1" applyBorder="1" applyAlignment="1">
      <alignment horizontal="left" vertical="center" wrapText="1" indent="1"/>
    </xf>
    <xf numFmtId="166" fontId="3" fillId="3" borderId="0" xfId="0" applyNumberFormat="1" applyFont="1" applyFill="1" applyAlignment="1">
      <alignment horizontal="left" vertical="center" wrapText="1" indent="1"/>
    </xf>
    <xf numFmtId="166" fontId="3" fillId="3" borderId="118" xfId="0" applyNumberFormat="1" applyFont="1" applyFill="1" applyBorder="1" applyAlignment="1">
      <alignment horizontal="left" vertical="center" wrapText="1" indent="1"/>
    </xf>
    <xf numFmtId="166" fontId="3" fillId="3" borderId="2" xfId="0" applyNumberFormat="1" applyFont="1" applyFill="1" applyBorder="1" applyAlignment="1">
      <alignment horizontal="left" vertical="center" wrapText="1" indent="1"/>
    </xf>
    <xf numFmtId="166" fontId="3" fillId="0" borderId="110" xfId="0" applyNumberFormat="1" applyFont="1" applyBorder="1" applyAlignment="1">
      <alignment horizontal="left" vertical="center" wrapText="1" indent="1"/>
    </xf>
    <xf numFmtId="166" fontId="3" fillId="0" borderId="111" xfId="0" applyNumberFormat="1" applyFont="1" applyBorder="1" applyAlignment="1">
      <alignment horizontal="left" vertical="center" wrapText="1" indent="1"/>
    </xf>
    <xf numFmtId="166" fontId="3" fillId="0" borderId="120" xfId="0" applyNumberFormat="1" applyFont="1" applyBorder="1" applyAlignment="1">
      <alignment horizontal="left" vertical="center" wrapText="1" indent="1"/>
    </xf>
    <xf numFmtId="166" fontId="3" fillId="0" borderId="109" xfId="0" applyNumberFormat="1" applyFont="1" applyBorder="1" applyAlignment="1">
      <alignment horizontal="left" vertical="center" wrapText="1" indent="1"/>
    </xf>
    <xf numFmtId="166" fontId="3" fillId="0" borderId="107" xfId="0" applyNumberFormat="1" applyFont="1" applyBorder="1" applyAlignment="1">
      <alignment horizontal="left" vertical="center" wrapText="1" indent="1"/>
    </xf>
    <xf numFmtId="166" fontId="3" fillId="0" borderId="119" xfId="0" applyNumberFormat="1" applyFont="1" applyBorder="1" applyAlignment="1">
      <alignment horizontal="left" vertical="center" wrapText="1" indent="1"/>
    </xf>
    <xf numFmtId="166" fontId="52" fillId="3" borderId="76" xfId="0" applyNumberFormat="1" applyFont="1" applyFill="1" applyBorder="1" applyAlignment="1">
      <alignment horizontal="center" vertical="center" wrapText="1"/>
    </xf>
    <xf numFmtId="166" fontId="52" fillId="3" borderId="0" xfId="0" applyNumberFormat="1" applyFont="1" applyFill="1" applyAlignment="1">
      <alignment horizontal="center" vertical="center" wrapText="1"/>
    </xf>
    <xf numFmtId="166" fontId="51" fillId="0" borderId="0" xfId="0" applyNumberFormat="1" applyFont="1" applyAlignment="1">
      <alignment horizontal="center" vertical="center"/>
    </xf>
    <xf numFmtId="166" fontId="53" fillId="3" borderId="0" xfId="0" applyNumberFormat="1" applyFont="1" applyFill="1" applyAlignment="1">
      <alignment horizontal="left"/>
    </xf>
    <xf numFmtId="166" fontId="54" fillId="3" borderId="0" xfId="0" applyNumberFormat="1" applyFont="1" applyFill="1" applyAlignment="1">
      <alignment horizontal="left"/>
    </xf>
    <xf numFmtId="166" fontId="4" fillId="3" borderId="103" xfId="0" applyNumberFormat="1" applyFont="1" applyFill="1" applyBorder="1" applyAlignment="1">
      <alignment horizontal="center" wrapText="1"/>
    </xf>
    <xf numFmtId="166" fontId="4" fillId="3" borderId="105" xfId="0" applyNumberFormat="1" applyFont="1" applyFill="1" applyBorder="1" applyAlignment="1">
      <alignment horizontal="center"/>
    </xf>
    <xf numFmtId="166" fontId="3" fillId="3" borderId="111" xfId="0" applyNumberFormat="1" applyFont="1" applyFill="1" applyBorder="1" applyAlignment="1">
      <alignment horizontal="center" vertical="center" wrapText="1"/>
    </xf>
    <xf numFmtId="166" fontId="3" fillId="3" borderId="4" xfId="0" applyNumberFormat="1" applyFont="1" applyFill="1" applyBorder="1" applyAlignment="1">
      <alignment horizontal="center" vertical="center" wrapText="1"/>
    </xf>
    <xf numFmtId="166" fontId="3" fillId="3" borderId="103" xfId="0" applyNumberFormat="1" applyFont="1" applyFill="1" applyBorder="1" applyAlignment="1">
      <alignment horizontal="center" vertical="center" wrapText="1"/>
    </xf>
    <xf numFmtId="166" fontId="3" fillId="3" borderId="104" xfId="0" applyNumberFormat="1" applyFont="1" applyFill="1" applyBorder="1" applyAlignment="1">
      <alignment horizontal="center" vertical="center" wrapText="1"/>
    </xf>
    <xf numFmtId="166" fontId="3" fillId="3" borderId="96" xfId="0" applyNumberFormat="1" applyFont="1" applyFill="1" applyBorder="1" applyAlignment="1">
      <alignment horizontal="center" vertical="center" wrapText="1"/>
    </xf>
    <xf numFmtId="166" fontId="3" fillId="3" borderId="76" xfId="0" applyNumberFormat="1" applyFont="1" applyFill="1" applyBorder="1" applyAlignment="1">
      <alignment horizontal="center" vertical="center" wrapText="1"/>
    </xf>
    <xf numFmtId="166" fontId="3" fillId="3" borderId="0" xfId="0" applyNumberFormat="1" applyFont="1" applyFill="1" applyAlignment="1">
      <alignment horizontal="center" vertical="center" wrapText="1"/>
    </xf>
    <xf numFmtId="166" fontId="3" fillId="3" borderId="2" xfId="0" applyNumberFormat="1" applyFont="1" applyFill="1" applyBorder="1" applyAlignment="1">
      <alignment horizontal="center" vertical="center" wrapText="1"/>
    </xf>
    <xf numFmtId="166" fontId="3" fillId="3" borderId="46" xfId="0" applyNumberFormat="1" applyFont="1" applyFill="1" applyBorder="1" applyAlignment="1">
      <alignment horizontal="center" vertical="center" wrapText="1"/>
    </xf>
    <xf numFmtId="166" fontId="3" fillId="3" borderId="5" xfId="0" applyNumberFormat="1" applyFont="1" applyFill="1" applyBorder="1" applyAlignment="1">
      <alignment horizontal="center" vertical="center" wrapText="1"/>
    </xf>
    <xf numFmtId="164" fontId="4" fillId="3" borderId="2" xfId="0" applyNumberFormat="1" applyFont="1" applyFill="1" applyBorder="1" applyAlignment="1">
      <alignment horizontal="center" vertical="center" wrapText="1" shrinkToFit="1"/>
    </xf>
    <xf numFmtId="164" fontId="4" fillId="3" borderId="107" xfId="0" applyNumberFormat="1" applyFont="1" applyFill="1" applyBorder="1" applyAlignment="1">
      <alignment horizontal="center" vertical="center" wrapText="1" shrinkToFit="1"/>
    </xf>
    <xf numFmtId="164" fontId="4" fillId="3" borderId="119" xfId="0" applyNumberFormat="1" applyFont="1" applyFill="1" applyBorder="1" applyAlignment="1">
      <alignment horizontal="center" vertical="center" wrapText="1" shrinkToFit="1"/>
    </xf>
    <xf numFmtId="164" fontId="3" fillId="3" borderId="111" xfId="0" applyNumberFormat="1" applyFont="1" applyFill="1" applyBorder="1" applyAlignment="1">
      <alignment horizontal="left" vertical="center" wrapText="1"/>
    </xf>
    <xf numFmtId="164" fontId="3" fillId="3" borderId="120" xfId="0" applyNumberFormat="1" applyFont="1" applyFill="1" applyBorder="1" applyAlignment="1">
      <alignment horizontal="left" vertical="center" wrapText="1"/>
    </xf>
    <xf numFmtId="164" fontId="3" fillId="3" borderId="107" xfId="0" applyNumberFormat="1" applyFont="1" applyFill="1" applyBorder="1" applyAlignment="1">
      <alignment horizontal="left" vertical="center" wrapText="1"/>
    </xf>
    <xf numFmtId="164" fontId="3" fillId="3" borderId="119" xfId="0" applyNumberFormat="1" applyFont="1" applyFill="1" applyBorder="1" applyAlignment="1">
      <alignment horizontal="left" vertical="center" wrapText="1"/>
    </xf>
    <xf numFmtId="166" fontId="3" fillId="3" borderId="105" xfId="0" applyNumberFormat="1" applyFont="1" applyFill="1" applyBorder="1" applyAlignment="1">
      <alignment horizontal="left" vertical="center" wrapText="1" indent="1" shrinkToFit="1"/>
    </xf>
    <xf numFmtId="166" fontId="3" fillId="3" borderId="104" xfId="0" applyNumberFormat="1" applyFont="1" applyFill="1" applyBorder="1" applyAlignment="1">
      <alignment horizontal="left" vertical="center" wrapText="1" indent="1" shrinkToFit="1"/>
    </xf>
    <xf numFmtId="166" fontId="3" fillId="3" borderId="96" xfId="0" applyNumberFormat="1" applyFont="1" applyFill="1" applyBorder="1" applyAlignment="1">
      <alignment horizontal="left" vertical="center" wrapText="1" indent="1" shrinkToFit="1"/>
    </xf>
    <xf numFmtId="166" fontId="3" fillId="3" borderId="109" xfId="0" applyNumberFormat="1" applyFont="1" applyFill="1" applyBorder="1" applyAlignment="1">
      <alignment horizontal="left" vertical="center" wrapText="1" indent="1" shrinkToFit="1"/>
    </xf>
    <xf numFmtId="166" fontId="3" fillId="3" borderId="107" xfId="0" applyNumberFormat="1" applyFont="1" applyFill="1" applyBorder="1" applyAlignment="1">
      <alignment horizontal="left" vertical="center" wrapText="1" indent="1" shrinkToFit="1"/>
    </xf>
    <xf numFmtId="166" fontId="3" fillId="3" borderId="119" xfId="0" applyNumberFormat="1" applyFont="1" applyFill="1" applyBorder="1" applyAlignment="1">
      <alignment horizontal="left" vertical="center" wrapText="1" indent="1" shrinkToFit="1"/>
    </xf>
    <xf numFmtId="170" fontId="3" fillId="3" borderId="110" xfId="0" applyNumberFormat="1" applyFont="1" applyFill="1" applyBorder="1" applyAlignment="1">
      <alignment horizontal="left" vertical="center" indent="1"/>
    </xf>
    <xf numFmtId="170" fontId="3" fillId="3" borderId="111" xfId="0" applyNumberFormat="1" applyFont="1" applyFill="1" applyBorder="1" applyAlignment="1">
      <alignment horizontal="left" vertical="center" indent="1"/>
    </xf>
    <xf numFmtId="170" fontId="3" fillId="3" borderId="115" xfId="0" applyNumberFormat="1" applyFont="1" applyFill="1" applyBorder="1" applyAlignment="1">
      <alignment horizontal="left" vertical="center" indent="1"/>
    </xf>
    <xf numFmtId="170" fontId="3" fillId="3" borderId="112" xfId="0" applyNumberFormat="1" applyFont="1" applyFill="1" applyBorder="1" applyAlignment="1">
      <alignment horizontal="left" vertical="center" indent="1"/>
    </xf>
    <xf numFmtId="170" fontId="3" fillId="3" borderId="0" xfId="0" applyNumberFormat="1" applyFont="1" applyFill="1" applyAlignment="1">
      <alignment horizontal="left" vertical="center" indent="1"/>
    </xf>
    <xf numFmtId="170" fontId="3" fillId="3" borderId="118" xfId="0" applyNumberFormat="1" applyFont="1" applyFill="1" applyBorder="1" applyAlignment="1">
      <alignment horizontal="left" vertical="center" indent="1"/>
    </xf>
    <xf numFmtId="166" fontId="3" fillId="3" borderId="108" xfId="0" applyNumberFormat="1" applyFont="1" applyFill="1" applyBorder="1" applyAlignment="1">
      <alignment horizontal="center" vertical="center"/>
    </xf>
    <xf numFmtId="166" fontId="3" fillId="3" borderId="120" xfId="0" applyNumberFormat="1" applyFont="1" applyFill="1" applyBorder="1" applyAlignment="1">
      <alignment horizontal="left" vertical="center" wrapText="1" indent="1"/>
    </xf>
    <xf numFmtId="166" fontId="3" fillId="3" borderId="119" xfId="0" applyNumberFormat="1" applyFont="1" applyFill="1" applyBorder="1" applyAlignment="1">
      <alignment horizontal="left" vertical="center" wrapText="1" indent="1"/>
    </xf>
    <xf numFmtId="166" fontId="3" fillId="3" borderId="110" xfId="0" applyNumberFormat="1" applyFont="1" applyFill="1" applyBorder="1" applyAlignment="1">
      <alignment horizontal="center" vertical="center"/>
    </xf>
    <xf numFmtId="166" fontId="3" fillId="3" borderId="109" xfId="0" applyNumberFormat="1" applyFont="1" applyFill="1" applyBorder="1" applyAlignment="1">
      <alignment horizontal="center" vertical="center"/>
    </xf>
    <xf numFmtId="165" fontId="3" fillId="3" borderId="110" xfId="0" applyNumberFormat="1" applyFont="1" applyFill="1" applyBorder="1" applyAlignment="1">
      <alignment horizontal="center" vertical="center" shrinkToFit="1"/>
    </xf>
    <xf numFmtId="165" fontId="3" fillId="3" borderId="111" xfId="0" applyNumberFormat="1" applyFont="1" applyFill="1" applyBorder="1" applyAlignment="1">
      <alignment horizontal="center" vertical="center" shrinkToFit="1"/>
    </xf>
    <xf numFmtId="165" fontId="3" fillId="3" borderId="113" xfId="0" applyNumberFormat="1" applyFont="1" applyFill="1" applyBorder="1" applyAlignment="1">
      <alignment horizontal="center" vertical="center" shrinkToFit="1"/>
    </xf>
    <xf numFmtId="165" fontId="3" fillId="3" borderId="4" xfId="0" applyNumberFormat="1" applyFont="1" applyFill="1" applyBorder="1" applyAlignment="1">
      <alignment horizontal="center" vertical="center" shrinkToFit="1"/>
    </xf>
    <xf numFmtId="165" fontId="3" fillId="3" borderId="120" xfId="0" applyNumberFormat="1" applyFont="1" applyFill="1" applyBorder="1" applyAlignment="1">
      <alignment horizontal="center" vertical="center" shrinkToFit="1"/>
    </xf>
    <xf numFmtId="165" fontId="3" fillId="3" borderId="5" xfId="0" applyNumberFormat="1" applyFont="1" applyFill="1" applyBorder="1" applyAlignment="1">
      <alignment horizontal="center" vertical="center" shrinkToFit="1"/>
    </xf>
    <xf numFmtId="166" fontId="5" fillId="0" borderId="110" xfId="0" applyNumberFormat="1" applyFont="1" applyBorder="1" applyAlignment="1">
      <alignment horizontal="left" vertical="center" wrapText="1" indent="1"/>
    </xf>
    <xf numFmtId="166" fontId="5" fillId="0" borderId="111" xfId="0" applyNumberFormat="1" applyFont="1" applyBorder="1" applyAlignment="1">
      <alignment horizontal="left" vertical="center" wrapText="1" indent="1"/>
    </xf>
    <xf numFmtId="166" fontId="5" fillId="0" borderId="115" xfId="0" applyNumberFormat="1" applyFont="1" applyBorder="1" applyAlignment="1">
      <alignment horizontal="left" vertical="center" wrapText="1" indent="1"/>
    </xf>
    <xf numFmtId="166" fontId="5" fillId="0" borderId="109" xfId="0" applyNumberFormat="1" applyFont="1" applyBorder="1" applyAlignment="1">
      <alignment horizontal="left" vertical="center" wrapText="1" indent="1"/>
    </xf>
    <xf numFmtId="166" fontId="5" fillId="0" borderId="107" xfId="0" applyNumberFormat="1" applyFont="1" applyBorder="1" applyAlignment="1">
      <alignment horizontal="left" vertical="center" wrapText="1" indent="1"/>
    </xf>
    <xf numFmtId="166" fontId="5" fillId="0" borderId="108" xfId="0" applyNumberFormat="1" applyFont="1" applyBorder="1" applyAlignment="1">
      <alignment horizontal="left" vertical="center" wrapText="1" indent="1"/>
    </xf>
    <xf numFmtId="166" fontId="5" fillId="0" borderId="113" xfId="0" applyNumberFormat="1" applyFont="1" applyBorder="1" applyAlignment="1">
      <alignment horizontal="left" vertical="center" wrapText="1" indent="1"/>
    </xf>
    <xf numFmtId="166" fontId="5" fillId="0" borderId="4" xfId="0" applyNumberFormat="1" applyFont="1" applyBorder="1" applyAlignment="1">
      <alignment horizontal="left" vertical="center" wrapText="1" indent="1"/>
    </xf>
    <xf numFmtId="166" fontId="5" fillId="0" borderId="117" xfId="0" applyNumberFormat="1" applyFont="1" applyBorder="1" applyAlignment="1">
      <alignment horizontal="left" vertical="center" wrapText="1" indent="1"/>
    </xf>
    <xf numFmtId="166" fontId="3" fillId="3" borderId="76" xfId="0" applyNumberFormat="1" applyFont="1" applyFill="1" applyBorder="1" applyAlignment="1">
      <alignment horizontal="center" wrapText="1"/>
    </xf>
    <xf numFmtId="166" fontId="3" fillId="3" borderId="0" xfId="0" applyNumberFormat="1" applyFont="1" applyFill="1" applyAlignment="1">
      <alignment horizontal="center" wrapText="1"/>
    </xf>
    <xf numFmtId="166" fontId="51" fillId="3" borderId="76" xfId="0" applyNumberFormat="1" applyFont="1" applyFill="1" applyBorder="1" applyAlignment="1">
      <alignment horizontal="center" vertical="center" wrapText="1"/>
    </xf>
    <xf numFmtId="166" fontId="51" fillId="3" borderId="0" xfId="0" applyNumberFormat="1" applyFont="1" applyFill="1" applyAlignment="1">
      <alignment horizontal="center" vertical="center" wrapText="1"/>
    </xf>
    <xf numFmtId="166" fontId="50" fillId="3" borderId="0" xfId="0" applyNumberFormat="1" applyFont="1" applyFill="1" applyAlignment="1">
      <alignment horizontal="center" vertical="center"/>
    </xf>
    <xf numFmtId="166" fontId="3" fillId="3" borderId="103" xfId="0" applyNumberFormat="1" applyFont="1" applyFill="1" applyBorder="1" applyAlignment="1">
      <alignment horizontal="center" wrapText="1"/>
    </xf>
    <xf numFmtId="166" fontId="3" fillId="3" borderId="104" xfId="0" applyNumberFormat="1" applyFont="1" applyFill="1" applyBorder="1" applyAlignment="1">
      <alignment horizontal="center" wrapText="1"/>
    </xf>
    <xf numFmtId="166" fontId="3" fillId="3" borderId="112" xfId="0" applyNumberFormat="1" applyFont="1" applyFill="1" applyBorder="1" applyAlignment="1">
      <alignment horizontal="center" vertical="center"/>
    </xf>
    <xf numFmtId="166" fontId="4" fillId="3" borderId="110" xfId="0" applyNumberFormat="1" applyFont="1" applyFill="1" applyBorder="1" applyAlignment="1">
      <alignment horizontal="left" vertical="center" wrapText="1" indent="1" shrinkToFit="1"/>
    </xf>
    <xf numFmtId="166" fontId="4" fillId="3" borderId="111" xfId="0" applyNumberFormat="1" applyFont="1" applyFill="1" applyBorder="1" applyAlignment="1">
      <alignment horizontal="left" vertical="center" wrapText="1" indent="1" shrinkToFit="1"/>
    </xf>
    <xf numFmtId="166" fontId="4" fillId="3" borderId="115" xfId="0" applyNumberFormat="1" applyFont="1" applyFill="1" applyBorder="1" applyAlignment="1">
      <alignment horizontal="left" vertical="center" wrapText="1" indent="1" shrinkToFit="1"/>
    </xf>
    <xf numFmtId="166" fontId="4" fillId="3" borderId="109" xfId="0" applyNumberFormat="1" applyFont="1" applyFill="1" applyBorder="1" applyAlignment="1">
      <alignment horizontal="left" vertical="center" wrapText="1" indent="1" shrinkToFit="1"/>
    </xf>
    <xf numFmtId="166" fontId="4" fillId="3" borderId="107" xfId="0" applyNumberFormat="1" applyFont="1" applyFill="1" applyBorder="1" applyAlignment="1">
      <alignment horizontal="left" vertical="center" wrapText="1" indent="1" shrinkToFit="1"/>
    </xf>
    <xf numFmtId="166" fontId="57" fillId="3" borderId="0" xfId="0" applyNumberFormat="1" applyFont="1" applyFill="1" applyAlignment="1">
      <alignment horizontal="center" vertical="top"/>
    </xf>
    <xf numFmtId="166" fontId="3" fillId="3" borderId="107" xfId="0" applyNumberFormat="1" applyFont="1" applyFill="1" applyBorder="1" applyAlignment="1">
      <alignment horizontal="center" vertical="center" wrapText="1"/>
    </xf>
    <xf numFmtId="0" fontId="37" fillId="0" borderId="28" xfId="3" applyFont="1" applyBorder="1" applyAlignment="1">
      <alignment horizontal="center" vertical="center" textRotation="180"/>
    </xf>
    <xf numFmtId="0" fontId="37" fillId="0" borderId="15" xfId="3" applyFont="1" applyBorder="1" applyAlignment="1">
      <alignment horizontal="center" vertical="center" textRotation="180"/>
    </xf>
    <xf numFmtId="0" fontId="37" fillId="0" borderId="30" xfId="3" applyFont="1" applyBorder="1" applyAlignment="1">
      <alignment horizontal="center" vertical="center" textRotation="180"/>
    </xf>
    <xf numFmtId="0" fontId="37" fillId="20" borderId="40" xfId="3" applyFont="1" applyFill="1" applyBorder="1" applyAlignment="1">
      <alignment horizontal="center" vertical="center"/>
    </xf>
    <xf numFmtId="0" fontId="37" fillId="20" borderId="15" xfId="3" applyFont="1" applyFill="1" applyBorder="1" applyAlignment="1">
      <alignment horizontal="center" vertical="center"/>
    </xf>
    <xf numFmtId="0" fontId="37" fillId="20" borderId="36" xfId="3" applyFont="1" applyFill="1" applyBorder="1" applyAlignment="1">
      <alignment horizontal="center" vertical="center"/>
    </xf>
    <xf numFmtId="0" fontId="37" fillId="23" borderId="15" xfId="3" applyFont="1" applyFill="1" applyBorder="1" applyAlignment="1">
      <alignment horizontal="center" vertical="center"/>
    </xf>
    <xf numFmtId="0" fontId="37" fillId="23" borderId="30" xfId="3" applyFont="1" applyFill="1" applyBorder="1" applyAlignment="1">
      <alignment horizontal="center" vertical="center"/>
    </xf>
    <xf numFmtId="0" fontId="37" fillId="23" borderId="40" xfId="3" applyFont="1" applyFill="1" applyBorder="1" applyAlignment="1">
      <alignment horizontal="center" vertical="center"/>
    </xf>
    <xf numFmtId="0" fontId="37" fillId="23" borderId="36" xfId="3" applyFont="1" applyFill="1" applyBorder="1" applyAlignment="1">
      <alignment horizontal="center" vertical="center"/>
    </xf>
    <xf numFmtId="0" fontId="22" fillId="0" borderId="6" xfId="3" applyFont="1" applyBorder="1" applyAlignment="1">
      <alignment horizontal="center"/>
    </xf>
    <xf numFmtId="0" fontId="22" fillId="0" borderId="7" xfId="3" applyFont="1" applyBorder="1" applyAlignment="1">
      <alignment horizontal="center"/>
    </xf>
    <xf numFmtId="0" fontId="22" fillId="0" borderId="14" xfId="3" applyFont="1" applyBorder="1" applyAlignment="1">
      <alignment horizontal="center"/>
    </xf>
    <xf numFmtId="0" fontId="27" fillId="5" borderId="45" xfId="3" applyFont="1" applyFill="1" applyBorder="1" applyAlignment="1">
      <alignment horizontal="center" vertical="center" textRotation="180"/>
    </xf>
    <xf numFmtId="0" fontId="27" fillId="5" borderId="47" xfId="3" applyFont="1" applyFill="1" applyBorder="1" applyAlignment="1">
      <alignment horizontal="center" vertical="center" textRotation="180"/>
    </xf>
    <xf numFmtId="0" fontId="27" fillId="7" borderId="49" xfId="3" applyFont="1" applyFill="1" applyBorder="1" applyAlignment="1">
      <alignment horizontal="center" vertical="center" textRotation="180"/>
    </xf>
    <xf numFmtId="0" fontId="27" fillId="7" borderId="45" xfId="3" applyFont="1" applyFill="1" applyBorder="1" applyAlignment="1">
      <alignment horizontal="center" vertical="center" textRotation="180"/>
    </xf>
    <xf numFmtId="0" fontId="27" fillId="7" borderId="47" xfId="3" applyFont="1" applyFill="1" applyBorder="1" applyAlignment="1">
      <alignment horizontal="center" vertical="center" textRotation="180"/>
    </xf>
    <xf numFmtId="0" fontId="18" fillId="5" borderId="29" xfId="3" applyFont="1" applyFill="1" applyBorder="1" applyAlignment="1">
      <alignment horizontal="center" vertical="center" textRotation="180"/>
    </xf>
    <xf numFmtId="0" fontId="18" fillId="5" borderId="31" xfId="3" applyFont="1" applyFill="1" applyBorder="1" applyAlignment="1">
      <alignment horizontal="center" vertical="center" textRotation="180"/>
    </xf>
    <xf numFmtId="0" fontId="18" fillId="5" borderId="85" xfId="3" applyFont="1" applyFill="1" applyBorder="1" applyAlignment="1">
      <alignment horizontal="center" vertical="center" textRotation="180"/>
    </xf>
    <xf numFmtId="0" fontId="18" fillId="7" borderId="78" xfId="3" applyFont="1" applyFill="1" applyBorder="1" applyAlignment="1">
      <alignment horizontal="center" vertical="center" textRotation="180"/>
    </xf>
    <xf numFmtId="0" fontId="18" fillId="7" borderId="31" xfId="3" applyFont="1" applyFill="1" applyBorder="1" applyAlignment="1">
      <alignment horizontal="center" vertical="center" textRotation="180"/>
    </xf>
    <xf numFmtId="0" fontId="18" fillId="7" borderId="85" xfId="3" applyFont="1" applyFill="1" applyBorder="1" applyAlignment="1">
      <alignment horizontal="center" vertical="center" textRotation="180"/>
    </xf>
    <xf numFmtId="0" fontId="18" fillId="8" borderId="78" xfId="3" applyFont="1" applyFill="1" applyBorder="1" applyAlignment="1">
      <alignment horizontal="center" vertical="center" textRotation="180"/>
    </xf>
    <xf numFmtId="0" fontId="18" fillId="8" borderId="90" xfId="3" applyFont="1" applyFill="1" applyBorder="1" applyAlignment="1">
      <alignment horizontal="center" vertical="center" textRotation="180"/>
    </xf>
    <xf numFmtId="0" fontId="18" fillId="8" borderId="31" xfId="3" applyFont="1" applyFill="1" applyBorder="1" applyAlignment="1">
      <alignment horizontal="center" vertical="center" textRotation="180"/>
    </xf>
    <xf numFmtId="0" fontId="18" fillId="8" borderId="85" xfId="3" applyFont="1" applyFill="1" applyBorder="1" applyAlignment="1">
      <alignment horizontal="center" vertical="center" textRotation="180"/>
    </xf>
    <xf numFmtId="0" fontId="18" fillId="9" borderId="78" xfId="3" applyFont="1" applyFill="1" applyBorder="1" applyAlignment="1">
      <alignment horizontal="center" vertical="center" textRotation="180"/>
    </xf>
    <xf numFmtId="0" fontId="18" fillId="9" borderId="31" xfId="3" applyFont="1" applyFill="1" applyBorder="1" applyAlignment="1">
      <alignment horizontal="center" vertical="center" textRotation="180"/>
    </xf>
    <xf numFmtId="0" fontId="18" fillId="9" borderId="85" xfId="3" applyFont="1" applyFill="1" applyBorder="1" applyAlignment="1">
      <alignment horizontal="center" vertical="center" textRotation="180"/>
    </xf>
    <xf numFmtId="0" fontId="18" fillId="10" borderId="90" xfId="3" applyFont="1" applyFill="1" applyBorder="1" applyAlignment="1">
      <alignment horizontal="center" vertical="center" textRotation="180"/>
    </xf>
    <xf numFmtId="0" fontId="18" fillId="10" borderId="31" xfId="3" applyFont="1" applyFill="1" applyBorder="1" applyAlignment="1">
      <alignment horizontal="center" vertical="center" textRotation="180"/>
    </xf>
    <xf numFmtId="0" fontId="18" fillId="10" borderId="32" xfId="3" applyFont="1" applyFill="1" applyBorder="1" applyAlignment="1">
      <alignment horizontal="center" vertical="center" textRotation="180"/>
    </xf>
    <xf numFmtId="0" fontId="35" fillId="5" borderId="28" xfId="3" applyFont="1" applyFill="1" applyBorder="1" applyAlignment="1">
      <alignment horizontal="center" vertical="center" textRotation="180"/>
    </xf>
    <xf numFmtId="0" fontId="35" fillId="5" borderId="15" xfId="3" applyFont="1" applyFill="1" applyBorder="1" applyAlignment="1">
      <alignment horizontal="center" vertical="center" textRotation="180"/>
    </xf>
    <xf numFmtId="0" fontId="35" fillId="5" borderId="36" xfId="3" applyFont="1" applyFill="1" applyBorder="1" applyAlignment="1">
      <alignment horizontal="center" vertical="center" textRotation="180"/>
    </xf>
    <xf numFmtId="0" fontId="35" fillId="7" borderId="40" xfId="3" applyFont="1" applyFill="1" applyBorder="1" applyAlignment="1">
      <alignment horizontal="center" vertical="center" textRotation="180"/>
    </xf>
    <xf numFmtId="0" fontId="35" fillId="7" borderId="15" xfId="3" applyFont="1" applyFill="1" applyBorder="1" applyAlignment="1">
      <alignment horizontal="center" vertical="center" textRotation="180"/>
    </xf>
    <xf numFmtId="0" fontId="35" fillId="7" borderId="36" xfId="3" applyFont="1" applyFill="1" applyBorder="1" applyAlignment="1">
      <alignment horizontal="center" vertical="center" textRotation="180"/>
    </xf>
    <xf numFmtId="0" fontId="35" fillId="8" borderId="40" xfId="3" applyFont="1" applyFill="1" applyBorder="1" applyAlignment="1">
      <alignment horizontal="center" vertical="center" textRotation="180"/>
    </xf>
    <xf numFmtId="0" fontId="35" fillId="8" borderId="15" xfId="3" applyFont="1" applyFill="1" applyBorder="1" applyAlignment="1">
      <alignment horizontal="center" vertical="center" textRotation="180"/>
    </xf>
    <xf numFmtId="0" fontId="35" fillId="9" borderId="40" xfId="3" applyFont="1" applyFill="1" applyBorder="1" applyAlignment="1">
      <alignment horizontal="center" vertical="center" textRotation="180"/>
    </xf>
    <xf numFmtId="0" fontId="35" fillId="9" borderId="15" xfId="3" applyFont="1" applyFill="1" applyBorder="1" applyAlignment="1">
      <alignment horizontal="center" vertical="center" textRotation="180"/>
    </xf>
    <xf numFmtId="0" fontId="35" fillId="9" borderId="36" xfId="3" applyFont="1" applyFill="1" applyBorder="1" applyAlignment="1">
      <alignment horizontal="center" vertical="center" textRotation="180"/>
    </xf>
    <xf numFmtId="0" fontId="35" fillId="10" borderId="40" xfId="3" applyFont="1" applyFill="1" applyBorder="1" applyAlignment="1">
      <alignment horizontal="center" vertical="center" textRotation="180"/>
    </xf>
    <xf numFmtId="0" fontId="35" fillId="10" borderId="15" xfId="3" applyFont="1" applyFill="1" applyBorder="1" applyAlignment="1">
      <alignment horizontal="center" vertical="center" textRotation="180"/>
    </xf>
    <xf numFmtId="0" fontId="35" fillId="10" borderId="30" xfId="3" applyFont="1" applyFill="1" applyBorder="1" applyAlignment="1">
      <alignment horizontal="center" vertical="center" textRotation="180"/>
    </xf>
    <xf numFmtId="0" fontId="18" fillId="5" borderId="28" xfId="3" applyFont="1" applyFill="1" applyBorder="1" applyAlignment="1">
      <alignment horizontal="center" vertical="center" textRotation="180"/>
    </xf>
    <xf numFmtId="0" fontId="18" fillId="5" borderId="15" xfId="3" applyFont="1" applyFill="1" applyBorder="1" applyAlignment="1">
      <alignment horizontal="center" vertical="center" textRotation="180"/>
    </xf>
    <xf numFmtId="0" fontId="18" fillId="5" borderId="36" xfId="3" applyFont="1" applyFill="1" applyBorder="1" applyAlignment="1">
      <alignment horizontal="center" vertical="center" textRotation="180"/>
    </xf>
    <xf numFmtId="0" fontId="18" fillId="7" borderId="40" xfId="3" applyFont="1" applyFill="1" applyBorder="1" applyAlignment="1">
      <alignment horizontal="center" vertical="center" textRotation="180"/>
    </xf>
    <xf numFmtId="0" fontId="18" fillId="7" borderId="15" xfId="3" applyFont="1" applyFill="1" applyBorder="1" applyAlignment="1">
      <alignment horizontal="center" vertical="center" textRotation="180"/>
    </xf>
    <xf numFmtId="0" fontId="18" fillId="7" borderId="36" xfId="3" applyFont="1" applyFill="1" applyBorder="1" applyAlignment="1">
      <alignment horizontal="center" vertical="center" textRotation="180"/>
    </xf>
    <xf numFmtId="0" fontId="18" fillId="8" borderId="40" xfId="3" applyFont="1" applyFill="1" applyBorder="1" applyAlignment="1">
      <alignment horizontal="center" vertical="center" textRotation="180"/>
    </xf>
    <xf numFmtId="0" fontId="18" fillId="8" borderId="15" xfId="3" applyFont="1" applyFill="1" applyBorder="1" applyAlignment="1">
      <alignment horizontal="center" vertical="center" textRotation="180"/>
    </xf>
    <xf numFmtId="0" fontId="18" fillId="8" borderId="36" xfId="3" applyFont="1" applyFill="1" applyBorder="1" applyAlignment="1">
      <alignment horizontal="center" vertical="center" textRotation="180"/>
    </xf>
    <xf numFmtId="0" fontId="18" fillId="9" borderId="40" xfId="3" applyFont="1" applyFill="1" applyBorder="1" applyAlignment="1">
      <alignment horizontal="center" vertical="center" textRotation="180"/>
    </xf>
    <xf numFmtId="0" fontId="18" fillId="9" borderId="15" xfId="3" applyFont="1" applyFill="1" applyBorder="1" applyAlignment="1">
      <alignment horizontal="center" vertical="center" textRotation="180"/>
    </xf>
    <xf numFmtId="0" fontId="18" fillId="9" borderId="36" xfId="3" applyFont="1" applyFill="1" applyBorder="1" applyAlignment="1">
      <alignment horizontal="center" vertical="center" textRotation="180"/>
    </xf>
    <xf numFmtId="0" fontId="27" fillId="8" borderId="49" xfId="3" applyFont="1" applyFill="1" applyBorder="1" applyAlignment="1">
      <alignment horizontal="center" vertical="center" textRotation="180"/>
    </xf>
    <xf numFmtId="0" fontId="27" fillId="8" borderId="45" xfId="3" applyFont="1" applyFill="1" applyBorder="1" applyAlignment="1">
      <alignment horizontal="center" vertical="center" textRotation="180"/>
    </xf>
    <xf numFmtId="0" fontId="27" fillId="8" borderId="47" xfId="3" applyFont="1" applyFill="1" applyBorder="1" applyAlignment="1">
      <alignment horizontal="center" vertical="center" textRotation="180"/>
    </xf>
    <xf numFmtId="0" fontId="27" fillId="9" borderId="49" xfId="3" applyFont="1" applyFill="1" applyBorder="1" applyAlignment="1">
      <alignment horizontal="center" vertical="center" textRotation="180" shrinkToFit="1"/>
    </xf>
    <xf numFmtId="0" fontId="27" fillId="9" borderId="47" xfId="3" applyFont="1" applyFill="1" applyBorder="1" applyAlignment="1">
      <alignment horizontal="center" vertical="center" textRotation="180" shrinkToFit="1"/>
    </xf>
    <xf numFmtId="0" fontId="27" fillId="10" borderId="45" xfId="3" applyFont="1" applyFill="1" applyBorder="1" applyAlignment="1">
      <alignment horizontal="center" vertical="center" textRotation="180" shrinkToFit="1"/>
    </xf>
    <xf numFmtId="0" fontId="27" fillId="10" borderId="52" xfId="3" applyFont="1" applyFill="1" applyBorder="1" applyAlignment="1">
      <alignment horizontal="center" vertical="center" textRotation="180" shrinkToFit="1"/>
    </xf>
    <xf numFmtId="0" fontId="29" fillId="4" borderId="28" xfId="3" applyFont="1" applyFill="1" applyBorder="1" applyAlignment="1">
      <alignment horizontal="center" vertical="center" textRotation="180"/>
    </xf>
    <xf numFmtId="0" fontId="29" fillId="4" borderId="15" xfId="3" applyFont="1" applyFill="1" applyBorder="1" applyAlignment="1">
      <alignment horizontal="center" vertical="center" textRotation="180"/>
    </xf>
    <xf numFmtId="0" fontId="29" fillId="4" borderId="30" xfId="3" applyFont="1" applyFill="1" applyBorder="1" applyAlignment="1">
      <alignment horizontal="center" vertical="center" textRotation="180"/>
    </xf>
    <xf numFmtId="0" fontId="41" fillId="5" borderId="57" xfId="3" applyFont="1" applyFill="1" applyBorder="1" applyAlignment="1">
      <alignment horizontal="center" vertical="center" textRotation="180"/>
    </xf>
    <xf numFmtId="0" fontId="41" fillId="5" borderId="58" xfId="3" applyFont="1" applyFill="1" applyBorder="1" applyAlignment="1">
      <alignment horizontal="center" vertical="center" textRotation="180"/>
    </xf>
    <xf numFmtId="0" fontId="41" fillId="5" borderId="92" xfId="3" applyFont="1" applyFill="1" applyBorder="1" applyAlignment="1">
      <alignment horizontal="center" vertical="center" textRotation="180"/>
    </xf>
    <xf numFmtId="0" fontId="41" fillId="7" borderId="40" xfId="3" applyFont="1" applyFill="1" applyBorder="1" applyAlignment="1">
      <alignment horizontal="center" vertical="center" textRotation="180"/>
    </xf>
    <xf numFmtId="0" fontId="41" fillId="7" borderId="15" xfId="3" applyFont="1" applyFill="1" applyBorder="1" applyAlignment="1">
      <alignment horizontal="center" vertical="center" textRotation="180"/>
    </xf>
    <xf numFmtId="0" fontId="41" fillId="7" borderId="36" xfId="3" applyFont="1" applyFill="1" applyBorder="1" applyAlignment="1">
      <alignment horizontal="center" vertical="center" textRotation="180"/>
    </xf>
    <xf numFmtId="0" fontId="41" fillId="8" borderId="72" xfId="3" applyFont="1" applyFill="1" applyBorder="1" applyAlignment="1">
      <alignment horizontal="center" vertical="center" textRotation="180"/>
    </xf>
    <xf numFmtId="0" fontId="41" fillId="8" borderId="58" xfId="3" applyFont="1" applyFill="1" applyBorder="1" applyAlignment="1">
      <alignment horizontal="center" vertical="center" textRotation="180"/>
    </xf>
    <xf numFmtId="0" fontId="41" fillId="8" borderId="92" xfId="3" applyFont="1" applyFill="1" applyBorder="1" applyAlignment="1">
      <alignment horizontal="center" vertical="center" textRotation="180"/>
    </xf>
    <xf numFmtId="0" fontId="41" fillId="9" borderId="72" xfId="3" applyFont="1" applyFill="1" applyBorder="1" applyAlignment="1">
      <alignment horizontal="center" vertical="center" textRotation="180"/>
    </xf>
    <xf numFmtId="0" fontId="41" fillId="9" borderId="58" xfId="3" applyFont="1" applyFill="1" applyBorder="1" applyAlignment="1">
      <alignment horizontal="center" vertical="center" textRotation="180"/>
    </xf>
    <xf numFmtId="0" fontId="41" fillId="9" borderId="92" xfId="3" applyFont="1" applyFill="1" applyBorder="1" applyAlignment="1">
      <alignment horizontal="center" vertical="center" textRotation="180"/>
    </xf>
    <xf numFmtId="0" fontId="41" fillId="10" borderId="15" xfId="3" applyFont="1" applyFill="1" applyBorder="1" applyAlignment="1">
      <alignment horizontal="center" vertical="center" textRotation="180"/>
    </xf>
    <xf numFmtId="0" fontId="41" fillId="10" borderId="30" xfId="3" applyFont="1" applyFill="1" applyBorder="1" applyAlignment="1">
      <alignment horizontal="center" vertical="center" textRotation="180"/>
    </xf>
    <xf numFmtId="0" fontId="14" fillId="24" borderId="23" xfId="3" applyFont="1" applyFill="1" applyBorder="1" applyAlignment="1">
      <alignment horizontal="center" vertical="center" textRotation="180"/>
    </xf>
    <xf numFmtId="0" fontId="14" fillId="24" borderId="94" xfId="3" applyFont="1" applyFill="1" applyBorder="1" applyAlignment="1">
      <alignment horizontal="center" vertical="center" textRotation="180"/>
    </xf>
    <xf numFmtId="0" fontId="14" fillId="24" borderId="82" xfId="3" applyFont="1" applyFill="1" applyBorder="1" applyAlignment="1">
      <alignment horizontal="center" vertical="center" textRotation="180"/>
    </xf>
    <xf numFmtId="0" fontId="27" fillId="5" borderId="23" xfId="3" applyFont="1" applyFill="1" applyBorder="1" applyAlignment="1">
      <alignment horizontal="center" vertical="center" textRotation="180"/>
    </xf>
    <xf numFmtId="0" fontId="27" fillId="5" borderId="74" xfId="3" applyFont="1" applyFill="1" applyBorder="1" applyAlignment="1">
      <alignment horizontal="center" vertical="center" textRotation="180"/>
    </xf>
    <xf numFmtId="0" fontId="27" fillId="7" borderId="73" xfId="3" applyFont="1" applyFill="1" applyBorder="1" applyAlignment="1">
      <alignment horizontal="center" vertical="center" textRotation="180"/>
    </xf>
    <xf numFmtId="0" fontId="27" fillId="7" borderId="94" xfId="3" applyFont="1" applyFill="1" applyBorder="1" applyAlignment="1">
      <alignment horizontal="center" vertical="center" textRotation="180"/>
    </xf>
    <xf numFmtId="0" fontId="27" fillId="8" borderId="10" xfId="3" applyFont="1" applyFill="1" applyBorder="1" applyAlignment="1">
      <alignment horizontal="center" vertical="center" textRotation="180"/>
    </xf>
    <xf numFmtId="0" fontId="27" fillId="8" borderId="37" xfId="3" applyFont="1" applyFill="1" applyBorder="1" applyAlignment="1">
      <alignment horizontal="center" vertical="center" textRotation="180"/>
    </xf>
    <xf numFmtId="0" fontId="27" fillId="9" borderId="94" xfId="3" applyFont="1" applyFill="1" applyBorder="1" applyAlignment="1">
      <alignment horizontal="center" vertical="center" textRotation="180"/>
    </xf>
    <xf numFmtId="0" fontId="27" fillId="9" borderId="74" xfId="3" applyFont="1" applyFill="1" applyBorder="1" applyAlignment="1">
      <alignment horizontal="center" vertical="center" textRotation="180"/>
    </xf>
    <xf numFmtId="0" fontId="27" fillId="10" borderId="94" xfId="3" applyFont="1" applyFill="1" applyBorder="1" applyAlignment="1">
      <alignment horizontal="center" vertical="center" textRotation="180"/>
    </xf>
    <xf numFmtId="0" fontId="27" fillId="10" borderId="82" xfId="3" applyFont="1" applyFill="1" applyBorder="1" applyAlignment="1">
      <alignment horizontal="center" vertical="center" textRotation="180"/>
    </xf>
    <xf numFmtId="0" fontId="27" fillId="7" borderId="78" xfId="3" applyFont="1" applyFill="1" applyBorder="1" applyAlignment="1">
      <alignment horizontal="center" vertical="center" textRotation="180"/>
    </xf>
    <xf numFmtId="0" fontId="27" fillId="7" borderId="31" xfId="3" applyFont="1" applyFill="1" applyBorder="1" applyAlignment="1">
      <alignment horizontal="center" vertical="center" textRotation="180"/>
    </xf>
    <xf numFmtId="0" fontId="27" fillId="7" borderId="85" xfId="3" applyFont="1" applyFill="1" applyBorder="1" applyAlignment="1">
      <alignment horizontal="center" vertical="center" textRotation="180"/>
    </xf>
    <xf numFmtId="0" fontId="27" fillId="8" borderId="78" xfId="3" applyFont="1" applyFill="1" applyBorder="1" applyAlignment="1">
      <alignment horizontal="center" vertical="center" textRotation="180"/>
    </xf>
    <xf numFmtId="0" fontId="27" fillId="8" borderId="31" xfId="3" applyFont="1" applyFill="1" applyBorder="1" applyAlignment="1">
      <alignment horizontal="center" vertical="center" textRotation="180"/>
    </xf>
    <xf numFmtId="0" fontId="27" fillId="8" borderId="85" xfId="3" applyFont="1" applyFill="1" applyBorder="1" applyAlignment="1">
      <alignment horizontal="center" vertical="center" textRotation="180"/>
    </xf>
    <xf numFmtId="0" fontId="27" fillId="9" borderId="78" xfId="3" applyFont="1" applyFill="1" applyBorder="1" applyAlignment="1">
      <alignment horizontal="center" vertical="center" textRotation="180"/>
    </xf>
    <xf numFmtId="0" fontId="27" fillId="9" borderId="31" xfId="3" applyFont="1" applyFill="1" applyBorder="1" applyAlignment="1">
      <alignment horizontal="center" vertical="center" textRotation="180"/>
    </xf>
    <xf numFmtId="0" fontId="27" fillId="9" borderId="85" xfId="3" applyFont="1" applyFill="1" applyBorder="1" applyAlignment="1">
      <alignment horizontal="center" vertical="center" textRotation="180"/>
    </xf>
    <xf numFmtId="0" fontId="27" fillId="10" borderId="90" xfId="3" applyFont="1" applyFill="1" applyBorder="1" applyAlignment="1">
      <alignment horizontal="center" vertical="center" textRotation="180"/>
    </xf>
    <xf numFmtId="0" fontId="27" fillId="10" borderId="31" xfId="3" applyFont="1" applyFill="1" applyBorder="1" applyAlignment="1">
      <alignment horizontal="center" vertical="center" textRotation="180"/>
    </xf>
    <xf numFmtId="0" fontId="27" fillId="10" borderId="32" xfId="3" applyFont="1" applyFill="1" applyBorder="1" applyAlignment="1">
      <alignment horizontal="center" vertical="center" textRotation="180"/>
    </xf>
    <xf numFmtId="0" fontId="17" fillId="0" borderId="8" xfId="3" applyBorder="1" applyAlignment="1">
      <alignment horizontal="center" vertical="center" textRotation="180" wrapText="1"/>
    </xf>
    <xf numFmtId="0" fontId="17" fillId="0" borderId="10" xfId="3" applyBorder="1" applyAlignment="1">
      <alignment horizontal="center" vertical="center" textRotation="180" wrapText="1"/>
    </xf>
    <xf numFmtId="0" fontId="17" fillId="0" borderId="11" xfId="3" applyBorder="1" applyAlignment="1">
      <alignment horizontal="center" vertical="center" textRotation="180" wrapText="1"/>
    </xf>
    <xf numFmtId="0" fontId="17" fillId="0" borderId="13" xfId="3" applyBorder="1" applyAlignment="1">
      <alignment horizontal="center" vertical="center" textRotation="180" wrapText="1"/>
    </xf>
    <xf numFmtId="0" fontId="17" fillId="0" borderId="33" xfId="3" applyBorder="1" applyAlignment="1">
      <alignment horizontal="center" vertical="center" textRotation="180" wrapText="1"/>
    </xf>
    <xf numFmtId="0" fontId="22" fillId="0" borderId="6" xfId="3" applyFont="1" applyBorder="1" applyAlignment="1">
      <alignment horizontal="center" vertical="center"/>
    </xf>
    <xf numFmtId="0" fontId="22" fillId="0" borderId="7" xfId="3" applyFont="1" applyBorder="1" applyAlignment="1">
      <alignment horizontal="center" vertical="center"/>
    </xf>
    <xf numFmtId="0" fontId="22" fillId="0" borderId="14" xfId="3" applyFont="1" applyBorder="1" applyAlignment="1">
      <alignment horizontal="center" vertical="center"/>
    </xf>
    <xf numFmtId="0" fontId="22" fillId="0" borderId="19" xfId="3" applyFont="1" applyBorder="1" applyAlignment="1">
      <alignment horizontal="center"/>
    </xf>
    <xf numFmtId="0" fontId="22" fillId="0" borderId="20" xfId="3" applyFont="1" applyBorder="1" applyAlignment="1">
      <alignment horizontal="center"/>
    </xf>
    <xf numFmtId="0" fontId="22" fillId="0" borderId="22" xfId="3" applyFont="1" applyBorder="1" applyAlignment="1">
      <alignment horizontal="center"/>
    </xf>
    <xf numFmtId="0" fontId="18" fillId="10" borderId="15" xfId="3" applyFont="1" applyFill="1" applyBorder="1" applyAlignment="1">
      <alignment horizontal="center" vertical="center" textRotation="180"/>
    </xf>
    <xf numFmtId="0" fontId="18" fillId="10" borderId="30" xfId="3" applyFont="1" applyFill="1" applyBorder="1" applyAlignment="1">
      <alignment horizontal="center" vertical="center" textRotation="180"/>
    </xf>
    <xf numFmtId="0" fontId="18" fillId="10" borderId="40" xfId="3" applyFont="1" applyFill="1" applyBorder="1" applyAlignment="1">
      <alignment horizontal="center" vertical="center" textRotation="180"/>
    </xf>
    <xf numFmtId="0" fontId="43" fillId="5" borderId="57" xfId="0" applyFont="1" applyFill="1" applyBorder="1" applyAlignment="1">
      <alignment horizontal="center" vertical="center" textRotation="180" wrapText="1"/>
    </xf>
    <xf numFmtId="0" fontId="43" fillId="5" borderId="58" xfId="0" applyFont="1" applyFill="1" applyBorder="1" applyAlignment="1">
      <alignment horizontal="center" vertical="center" textRotation="180" wrapText="1"/>
    </xf>
    <xf numFmtId="0" fontId="43" fillId="5" borderId="92" xfId="0" applyFont="1" applyFill="1" applyBorder="1" applyAlignment="1">
      <alignment horizontal="center" vertical="center" textRotation="180" wrapText="1"/>
    </xf>
    <xf numFmtId="0" fontId="44" fillId="7" borderId="40" xfId="3" applyFont="1" applyFill="1" applyBorder="1" applyAlignment="1">
      <alignment horizontal="center" vertical="center" textRotation="180"/>
    </xf>
    <xf numFmtId="0" fontId="44" fillId="7" borderId="15" xfId="3" applyFont="1" applyFill="1" applyBorder="1" applyAlignment="1">
      <alignment horizontal="center" vertical="center" textRotation="180"/>
    </xf>
    <xf numFmtId="0" fontId="44" fillId="7" borderId="36" xfId="3" applyFont="1" applyFill="1" applyBorder="1" applyAlignment="1">
      <alignment horizontal="center" vertical="center" textRotation="180"/>
    </xf>
    <xf numFmtId="0" fontId="44" fillId="8" borderId="40" xfId="3" applyFont="1" applyFill="1" applyBorder="1" applyAlignment="1">
      <alignment horizontal="center" vertical="center" textRotation="180"/>
    </xf>
    <xf numFmtId="0" fontId="44" fillId="8" borderId="15" xfId="3" applyFont="1" applyFill="1" applyBorder="1" applyAlignment="1">
      <alignment horizontal="center" vertical="center" textRotation="180"/>
    </xf>
    <xf numFmtId="0" fontId="44" fillId="8" borderId="36" xfId="3" applyFont="1" applyFill="1" applyBorder="1" applyAlignment="1">
      <alignment horizontal="center" vertical="center" textRotation="180"/>
    </xf>
    <xf numFmtId="0" fontId="44" fillId="9" borderId="40" xfId="3" applyFont="1" applyFill="1" applyBorder="1" applyAlignment="1">
      <alignment horizontal="center" vertical="center" textRotation="180"/>
    </xf>
    <xf numFmtId="0" fontId="44" fillId="9" borderId="15" xfId="3" applyFont="1" applyFill="1" applyBorder="1" applyAlignment="1">
      <alignment horizontal="center" vertical="center" textRotation="180"/>
    </xf>
    <xf numFmtId="0" fontId="44" fillId="9" borderId="36" xfId="3" applyFont="1" applyFill="1" applyBorder="1" applyAlignment="1">
      <alignment horizontal="center" vertical="center" textRotation="180"/>
    </xf>
    <xf numFmtId="0" fontId="44" fillId="10" borderId="15" xfId="3" applyFont="1" applyFill="1" applyBorder="1" applyAlignment="1">
      <alignment horizontal="center" vertical="center" textRotation="180"/>
    </xf>
    <xf numFmtId="0" fontId="44" fillId="10" borderId="30" xfId="3" applyFont="1" applyFill="1" applyBorder="1" applyAlignment="1">
      <alignment horizontal="center" vertical="center" textRotation="180"/>
    </xf>
    <xf numFmtId="0" fontId="44" fillId="5" borderId="28" xfId="3" applyFont="1" applyFill="1" applyBorder="1" applyAlignment="1">
      <alignment horizontal="center" vertical="center" textRotation="180"/>
    </xf>
    <xf numFmtId="0" fontId="44" fillId="5" borderId="15" xfId="3" applyFont="1" applyFill="1" applyBorder="1" applyAlignment="1">
      <alignment horizontal="center" vertical="center" textRotation="180"/>
    </xf>
    <xf numFmtId="0" fontId="44" fillId="5" borderId="36" xfId="3" applyFont="1" applyFill="1" applyBorder="1" applyAlignment="1">
      <alignment horizontal="center" vertical="center" textRotation="180"/>
    </xf>
    <xf numFmtId="0" fontId="45" fillId="9" borderId="40" xfId="3" applyFont="1" applyFill="1" applyBorder="1" applyAlignment="1">
      <alignment horizontal="center" vertical="center" textRotation="180"/>
    </xf>
    <xf numFmtId="0" fontId="45" fillId="9" borderId="15" xfId="3" applyFont="1" applyFill="1" applyBorder="1" applyAlignment="1">
      <alignment horizontal="center" vertical="center" textRotation="180"/>
    </xf>
    <xf numFmtId="0" fontId="45" fillId="9" borderId="36" xfId="3" applyFont="1" applyFill="1" applyBorder="1" applyAlignment="1">
      <alignment horizontal="center" vertical="center" textRotation="180"/>
    </xf>
    <xf numFmtId="0" fontId="45" fillId="10" borderId="15" xfId="3" applyFont="1" applyFill="1" applyBorder="1" applyAlignment="1">
      <alignment horizontal="center" vertical="center" textRotation="180"/>
    </xf>
    <xf numFmtId="0" fontId="45" fillId="10" borderId="30" xfId="3" applyFont="1" applyFill="1" applyBorder="1" applyAlignment="1">
      <alignment horizontal="center" vertical="center" textRotation="180"/>
    </xf>
    <xf numFmtId="0" fontId="27" fillId="5" borderId="29" xfId="3" applyFont="1" applyFill="1" applyBorder="1" applyAlignment="1">
      <alignment horizontal="center" vertical="center" textRotation="180"/>
    </xf>
    <xf numFmtId="0" fontId="27" fillId="5" borderId="31" xfId="3" applyFont="1" applyFill="1" applyBorder="1" applyAlignment="1">
      <alignment horizontal="center" vertical="center" textRotation="180"/>
    </xf>
    <xf numFmtId="0" fontId="27" fillId="5" borderId="85" xfId="3" applyFont="1" applyFill="1" applyBorder="1" applyAlignment="1">
      <alignment horizontal="center" vertical="center" textRotation="180"/>
    </xf>
    <xf numFmtId="0" fontId="21" fillId="16" borderId="6" xfId="3" applyFont="1" applyFill="1" applyBorder="1" applyAlignment="1">
      <alignment horizontal="left" indent="1"/>
    </xf>
    <xf numFmtId="0" fontId="21" fillId="16" borderId="7" xfId="3" applyFont="1" applyFill="1" applyBorder="1" applyAlignment="1">
      <alignment horizontal="left" indent="1"/>
    </xf>
    <xf numFmtId="0" fontId="21" fillId="16" borderId="14" xfId="3" applyFont="1" applyFill="1" applyBorder="1" applyAlignment="1">
      <alignment horizontal="left" indent="1"/>
    </xf>
    <xf numFmtId="0" fontId="21" fillId="6" borderId="6" xfId="3" applyFont="1" applyFill="1" applyBorder="1" applyAlignment="1">
      <alignment horizontal="left" indent="1"/>
    </xf>
    <xf numFmtId="0" fontId="21" fillId="6" borderId="7" xfId="3" applyFont="1" applyFill="1" applyBorder="1" applyAlignment="1">
      <alignment horizontal="left" indent="1"/>
    </xf>
    <xf numFmtId="0" fontId="21" fillId="6" borderId="14" xfId="3" applyFont="1" applyFill="1" applyBorder="1" applyAlignment="1">
      <alignment horizontal="left" indent="1"/>
    </xf>
    <xf numFmtId="0" fontId="21" fillId="6" borderId="19" xfId="3" applyFont="1" applyFill="1" applyBorder="1" applyAlignment="1">
      <alignment horizontal="left" indent="1"/>
    </xf>
    <xf numFmtId="0" fontId="21" fillId="6" borderId="20" xfId="3" applyFont="1" applyFill="1" applyBorder="1" applyAlignment="1">
      <alignment horizontal="left" indent="1"/>
    </xf>
    <xf numFmtId="0" fontId="21" fillId="6" borderId="22" xfId="3" applyFont="1" applyFill="1" applyBorder="1" applyAlignment="1">
      <alignment horizontal="left" indent="1"/>
    </xf>
    <xf numFmtId="0" fontId="22" fillId="0" borderId="27" xfId="3" applyFont="1" applyBorder="1" applyAlignment="1">
      <alignment horizontal="center"/>
    </xf>
    <xf numFmtId="0" fontId="22" fillId="0" borderId="56" xfId="3" applyFont="1" applyBorder="1" applyAlignment="1">
      <alignment horizontal="center"/>
    </xf>
    <xf numFmtId="0" fontId="22" fillId="0" borderId="44" xfId="3" applyFont="1" applyBorder="1" applyAlignment="1">
      <alignment horizontal="center" vertical="center"/>
    </xf>
    <xf numFmtId="0" fontId="18" fillId="5" borderId="26" xfId="3" applyFont="1" applyFill="1" applyBorder="1" applyAlignment="1">
      <alignment horizontal="center" textRotation="180"/>
    </xf>
    <xf numFmtId="0" fontId="18" fillId="5" borderId="47" xfId="3" applyFont="1" applyFill="1" applyBorder="1" applyAlignment="1">
      <alignment horizontal="center" textRotation="180"/>
    </xf>
    <xf numFmtId="0" fontId="18" fillId="7" borderId="49" xfId="3" applyFont="1" applyFill="1" applyBorder="1" applyAlignment="1">
      <alignment horizontal="center" textRotation="180"/>
    </xf>
    <xf numFmtId="0" fontId="18" fillId="7" borderId="47" xfId="3" applyFont="1" applyFill="1" applyBorder="1" applyAlignment="1">
      <alignment horizontal="center" textRotation="180"/>
    </xf>
    <xf numFmtId="0" fontId="18" fillId="8" borderId="49" xfId="3" applyFont="1" applyFill="1" applyBorder="1" applyAlignment="1">
      <alignment horizontal="center" textRotation="180"/>
    </xf>
    <xf numFmtId="0" fontId="18" fillId="8" borderId="47" xfId="3" applyFont="1" applyFill="1" applyBorder="1" applyAlignment="1">
      <alignment horizontal="center" textRotation="180"/>
    </xf>
    <xf numFmtId="0" fontId="18" fillId="9" borderId="49" xfId="3" applyFont="1" applyFill="1" applyBorder="1" applyAlignment="1">
      <alignment horizontal="center" textRotation="180"/>
    </xf>
    <xf numFmtId="0" fontId="18" fillId="9" borderId="47" xfId="3" applyFont="1" applyFill="1" applyBorder="1" applyAlignment="1">
      <alignment horizontal="center" textRotation="180"/>
    </xf>
    <xf numFmtId="0" fontId="18" fillId="10" borderId="45" xfId="3" applyFont="1" applyFill="1" applyBorder="1" applyAlignment="1">
      <alignment horizontal="center" textRotation="180"/>
    </xf>
    <xf numFmtId="0" fontId="18" fillId="10" borderId="52" xfId="3" applyFont="1" applyFill="1" applyBorder="1" applyAlignment="1">
      <alignment horizontal="center" textRotation="180"/>
    </xf>
    <xf numFmtId="0" fontId="27" fillId="5" borderId="28" xfId="3" applyFont="1" applyFill="1" applyBorder="1" applyAlignment="1">
      <alignment horizontal="center" vertical="center" textRotation="180"/>
    </xf>
    <xf numFmtId="0" fontId="27" fillId="5" borderId="36" xfId="3" applyFont="1" applyFill="1" applyBorder="1" applyAlignment="1">
      <alignment horizontal="center" vertical="center" textRotation="180"/>
    </xf>
    <xf numFmtId="0" fontId="27" fillId="7" borderId="40" xfId="3" applyFont="1" applyFill="1" applyBorder="1" applyAlignment="1">
      <alignment horizontal="center" vertical="center" textRotation="180"/>
    </xf>
    <xf numFmtId="0" fontId="27" fillId="7" borderId="36" xfId="3" applyFont="1" applyFill="1" applyBorder="1" applyAlignment="1">
      <alignment horizontal="center" vertical="center" textRotation="180"/>
    </xf>
    <xf numFmtId="0" fontId="27" fillId="8" borderId="40" xfId="3" applyFont="1" applyFill="1" applyBorder="1" applyAlignment="1">
      <alignment horizontal="center" vertical="center" textRotation="180"/>
    </xf>
    <xf numFmtId="0" fontId="27" fillId="8" borderId="36" xfId="3" applyFont="1" applyFill="1" applyBorder="1" applyAlignment="1">
      <alignment horizontal="center" vertical="center" textRotation="180"/>
    </xf>
    <xf numFmtId="0" fontId="27" fillId="9" borderId="40" xfId="3" applyFont="1" applyFill="1" applyBorder="1" applyAlignment="1">
      <alignment horizontal="center" vertical="center" textRotation="180"/>
    </xf>
    <xf numFmtId="0" fontId="27" fillId="9" borderId="36" xfId="3" applyFont="1" applyFill="1" applyBorder="1" applyAlignment="1">
      <alignment horizontal="center" vertical="center" textRotation="180"/>
    </xf>
    <xf numFmtId="0" fontId="27" fillId="10" borderId="15" xfId="3" applyFont="1" applyFill="1" applyBorder="1" applyAlignment="1">
      <alignment horizontal="center" vertical="center" textRotation="180"/>
    </xf>
    <xf numFmtId="0" fontId="27" fillId="10" borderId="30" xfId="3" applyFont="1" applyFill="1" applyBorder="1" applyAlignment="1">
      <alignment horizontal="center" vertical="center" textRotation="180"/>
    </xf>
    <xf numFmtId="0" fontId="16" fillId="19" borderId="73" xfId="3" applyFont="1" applyFill="1" applyBorder="1" applyAlignment="1">
      <alignment horizontal="center" vertical="center"/>
    </xf>
    <xf numFmtId="0" fontId="16" fillId="19" borderId="74" xfId="3" applyFont="1" applyFill="1" applyBorder="1" applyAlignment="1">
      <alignment horizontal="center" vertical="center"/>
    </xf>
    <xf numFmtId="0" fontId="22" fillId="4" borderId="6" xfId="3" applyFont="1" applyFill="1" applyBorder="1" applyAlignment="1">
      <alignment horizontal="center" vertical="center"/>
    </xf>
    <xf numFmtId="0" fontId="22" fillId="4" borderId="14" xfId="3" applyFont="1" applyFill="1" applyBorder="1" applyAlignment="1">
      <alignment horizontal="center" vertical="center"/>
    </xf>
    <xf numFmtId="0" fontId="23" fillId="4" borderId="26" xfId="3" applyFont="1" applyFill="1" applyBorder="1" applyAlignment="1">
      <alignment horizontal="center"/>
    </xf>
    <xf numFmtId="0" fontId="23" fillId="4" borderId="27" xfId="3" applyFont="1" applyFill="1" applyBorder="1" applyAlignment="1">
      <alignment horizontal="center"/>
    </xf>
    <xf numFmtId="0" fontId="23" fillId="4" borderId="56" xfId="3" applyFont="1" applyFill="1" applyBorder="1" applyAlignment="1">
      <alignment horizontal="center"/>
    </xf>
    <xf numFmtId="0" fontId="21" fillId="12" borderId="19" xfId="3" applyFont="1" applyFill="1" applyBorder="1" applyAlignment="1">
      <alignment horizontal="left" indent="1"/>
    </xf>
    <xf numFmtId="0" fontId="21" fillId="12" borderId="20" xfId="3" applyFont="1" applyFill="1" applyBorder="1" applyAlignment="1">
      <alignment horizontal="left" indent="1"/>
    </xf>
    <xf numFmtId="0" fontId="21" fillId="12" borderId="22" xfId="3" applyFont="1" applyFill="1" applyBorder="1" applyAlignment="1">
      <alignment horizontal="left" indent="1"/>
    </xf>
    <xf numFmtId="0" fontId="21" fillId="17" borderId="6" xfId="3" applyFont="1" applyFill="1" applyBorder="1" applyAlignment="1">
      <alignment horizontal="left" indent="1"/>
    </xf>
    <xf numFmtId="0" fontId="21" fillId="17" borderId="7" xfId="3" applyFont="1" applyFill="1" applyBorder="1" applyAlignment="1">
      <alignment horizontal="left" indent="1"/>
    </xf>
    <xf numFmtId="0" fontId="21" fillId="17" borderId="14" xfId="3" applyFont="1" applyFill="1" applyBorder="1" applyAlignment="1">
      <alignment horizontal="left" indent="1"/>
    </xf>
    <xf numFmtId="0" fontId="21" fillId="18" borderId="45" xfId="3" applyFont="1" applyFill="1" applyBorder="1" applyAlignment="1">
      <alignment horizontal="center"/>
    </xf>
    <xf numFmtId="0" fontId="21" fillId="18" borderId="0" xfId="3" applyFont="1" applyFill="1" applyAlignment="1">
      <alignment horizontal="center"/>
    </xf>
    <xf numFmtId="0" fontId="21" fillId="13" borderId="6" xfId="3" applyFont="1" applyFill="1" applyBorder="1" applyAlignment="1">
      <alignment horizontal="left" indent="1"/>
    </xf>
    <xf numFmtId="0" fontId="21" fillId="13" borderId="7" xfId="3" applyFont="1" applyFill="1" applyBorder="1" applyAlignment="1">
      <alignment horizontal="left" indent="1"/>
    </xf>
    <xf numFmtId="0" fontId="21" fillId="13" borderId="14" xfId="3" applyFont="1" applyFill="1" applyBorder="1" applyAlignment="1">
      <alignment horizontal="left" indent="1"/>
    </xf>
    <xf numFmtId="0" fontId="21" fillId="14" borderId="6" xfId="3" applyFont="1" applyFill="1" applyBorder="1" applyAlignment="1">
      <alignment horizontal="left" indent="1"/>
    </xf>
    <xf numFmtId="0" fontId="21" fillId="14" borderId="7" xfId="3" applyFont="1" applyFill="1" applyBorder="1" applyAlignment="1">
      <alignment horizontal="left" indent="1"/>
    </xf>
    <xf numFmtId="0" fontId="21" fillId="14" borderId="14" xfId="3" applyFont="1" applyFill="1" applyBorder="1" applyAlignment="1">
      <alignment horizontal="left" indent="1"/>
    </xf>
    <xf numFmtId="0" fontId="21" fillId="15" borderId="6" xfId="3" applyFont="1" applyFill="1" applyBorder="1" applyAlignment="1">
      <alignment horizontal="left" indent="1"/>
    </xf>
    <xf numFmtId="0" fontId="21" fillId="15" borderId="7" xfId="3" applyFont="1" applyFill="1" applyBorder="1" applyAlignment="1">
      <alignment horizontal="left" indent="1"/>
    </xf>
    <xf numFmtId="0" fontId="21" fillId="15" borderId="14" xfId="3" applyFont="1" applyFill="1" applyBorder="1" applyAlignment="1">
      <alignment horizontal="left" indent="1"/>
    </xf>
    <xf numFmtId="0" fontId="24" fillId="4" borderId="28" xfId="3" applyFont="1" applyFill="1" applyBorder="1" applyAlignment="1">
      <alignment horizontal="center" textRotation="180" wrapText="1"/>
    </xf>
    <xf numFmtId="0" fontId="24" fillId="4" borderId="30" xfId="3" applyFont="1" applyFill="1" applyBorder="1" applyAlignment="1">
      <alignment horizontal="center" textRotation="180" wrapText="1"/>
    </xf>
    <xf numFmtId="0" fontId="25" fillId="4" borderId="28" xfId="3" applyFont="1" applyFill="1" applyBorder="1" applyAlignment="1">
      <alignment horizontal="center" vertical="center" textRotation="180" wrapText="1"/>
    </xf>
    <xf numFmtId="0" fontId="25" fillId="4" borderId="15" xfId="3" applyFont="1" applyFill="1" applyBorder="1" applyAlignment="1">
      <alignment horizontal="center" vertical="center" textRotation="180" wrapText="1"/>
    </xf>
    <xf numFmtId="0" fontId="25" fillId="4" borderId="30" xfId="3" applyFont="1" applyFill="1" applyBorder="1" applyAlignment="1">
      <alignment horizontal="center" vertical="center" textRotation="180" wrapText="1"/>
    </xf>
    <xf numFmtId="0" fontId="26" fillId="5" borderId="28" xfId="3" applyFont="1" applyFill="1" applyBorder="1" applyAlignment="1">
      <alignment horizontal="center" vertical="center" textRotation="180"/>
    </xf>
    <xf numFmtId="0" fontId="26" fillId="5" borderId="15" xfId="3" applyFont="1" applyFill="1" applyBorder="1" applyAlignment="1">
      <alignment horizontal="center" vertical="center" textRotation="180"/>
    </xf>
    <xf numFmtId="0" fontId="26" fillId="5" borderId="36" xfId="3" applyFont="1" applyFill="1" applyBorder="1" applyAlignment="1">
      <alignment horizontal="center" vertical="center" textRotation="180"/>
    </xf>
    <xf numFmtId="0" fontId="26" fillId="7" borderId="40" xfId="3" applyFont="1" applyFill="1" applyBorder="1" applyAlignment="1">
      <alignment horizontal="center" vertical="center" textRotation="180"/>
    </xf>
    <xf numFmtId="0" fontId="26" fillId="7" borderId="15" xfId="3" applyFont="1" applyFill="1" applyBorder="1" applyAlignment="1">
      <alignment horizontal="center" vertical="center" textRotation="180"/>
    </xf>
    <xf numFmtId="0" fontId="26" fillId="7" borderId="36" xfId="3" applyFont="1" applyFill="1" applyBorder="1" applyAlignment="1">
      <alignment horizontal="center" vertical="center" textRotation="180"/>
    </xf>
    <xf numFmtId="0" fontId="26" fillId="8" borderId="40" xfId="3" applyFont="1" applyFill="1" applyBorder="1" applyAlignment="1">
      <alignment horizontal="center" vertical="center" textRotation="180"/>
    </xf>
    <xf numFmtId="0" fontId="26" fillId="8" borderId="15" xfId="3" applyFont="1" applyFill="1" applyBorder="1" applyAlignment="1">
      <alignment horizontal="center" vertical="center" textRotation="180"/>
    </xf>
    <xf numFmtId="0" fontId="26" fillId="8" borderId="36" xfId="3" applyFont="1" applyFill="1" applyBorder="1" applyAlignment="1">
      <alignment horizontal="center" vertical="center" textRotation="180"/>
    </xf>
    <xf numFmtId="0" fontId="26" fillId="9" borderId="40" xfId="3" applyFont="1" applyFill="1" applyBorder="1" applyAlignment="1">
      <alignment horizontal="center" vertical="center" textRotation="180"/>
    </xf>
    <xf numFmtId="0" fontId="26" fillId="9" borderId="15" xfId="3" applyFont="1" applyFill="1" applyBorder="1" applyAlignment="1">
      <alignment horizontal="center" vertical="center" textRotation="180"/>
    </xf>
    <xf numFmtId="0" fontId="26" fillId="9" borderId="36" xfId="3" applyFont="1" applyFill="1" applyBorder="1" applyAlignment="1">
      <alignment horizontal="center" vertical="center" textRotation="180"/>
    </xf>
    <xf numFmtId="0" fontId="26" fillId="10" borderId="15" xfId="3" applyFont="1" applyFill="1" applyBorder="1" applyAlignment="1">
      <alignment horizontal="center" vertical="center" textRotation="180"/>
    </xf>
    <xf numFmtId="0" fontId="26" fillId="10" borderId="30" xfId="3" applyFont="1" applyFill="1" applyBorder="1" applyAlignment="1">
      <alignment horizontal="center" vertical="center" textRotation="180"/>
    </xf>
    <xf numFmtId="166" fontId="4" fillId="0" borderId="3" xfId="0" applyNumberFormat="1" applyFont="1" applyBorder="1" applyAlignment="1">
      <alignment horizontal="center" vertical="center"/>
    </xf>
    <xf numFmtId="166" fontId="4" fillId="0" borderId="1" xfId="0" applyNumberFormat="1" applyFont="1" applyBorder="1" applyAlignment="1">
      <alignment horizontal="center" vertical="center"/>
    </xf>
    <xf numFmtId="0" fontId="13" fillId="0" borderId="0" xfId="0" applyFont="1" applyAlignment="1">
      <alignment horizontal="center" vertical="center"/>
    </xf>
    <xf numFmtId="166" fontId="4" fillId="0" borderId="0" xfId="0" applyNumberFormat="1" applyFont="1" applyAlignment="1">
      <alignment horizontal="center" vertical="center"/>
    </xf>
    <xf numFmtId="166" fontId="4" fillId="0" borderId="2" xfId="0" applyNumberFormat="1" applyFont="1" applyBorder="1" applyAlignment="1">
      <alignment horizontal="center" vertical="center"/>
    </xf>
    <xf numFmtId="166" fontId="4" fillId="0" borderId="4" xfId="0" applyNumberFormat="1" applyFont="1" applyBorder="1" applyAlignment="1">
      <alignment horizontal="center" vertical="center"/>
    </xf>
    <xf numFmtId="166" fontId="4" fillId="0" borderId="5"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166" fontId="6" fillId="2" borderId="6" xfId="0" applyNumberFormat="1" applyFont="1" applyFill="1" applyBorder="1" applyAlignment="1">
      <alignment horizontal="center" vertical="center"/>
    </xf>
    <xf numFmtId="166" fontId="6" fillId="2" borderId="7" xfId="0" applyNumberFormat="1" applyFont="1" applyFill="1" applyBorder="1" applyAlignment="1">
      <alignment horizontal="center" vertical="center"/>
    </xf>
    <xf numFmtId="166" fontId="6" fillId="2" borderId="14" xfId="0" applyNumberFormat="1" applyFont="1" applyFill="1" applyBorder="1" applyAlignment="1">
      <alignment horizontal="center" vertical="center"/>
    </xf>
    <xf numFmtId="166" fontId="6" fillId="0" borderId="6" xfId="0" applyNumberFormat="1" applyFont="1" applyBorder="1" applyAlignment="1">
      <alignment horizontal="center" vertical="center"/>
    </xf>
    <xf numFmtId="166" fontId="6" fillId="0" borderId="7" xfId="0" applyNumberFormat="1" applyFont="1" applyBorder="1" applyAlignment="1">
      <alignment horizontal="center" vertical="center"/>
    </xf>
    <xf numFmtId="166" fontId="6" fillId="0" borderId="14" xfId="0" applyNumberFormat="1" applyFont="1" applyBorder="1" applyAlignment="1">
      <alignment horizontal="center" vertical="center"/>
    </xf>
    <xf numFmtId="166" fontId="6" fillId="0" borderId="19" xfId="0" applyNumberFormat="1" applyFont="1" applyBorder="1" applyAlignment="1">
      <alignment horizontal="center" vertical="center"/>
    </xf>
    <xf numFmtId="166" fontId="6" fillId="0" borderId="20" xfId="0" applyNumberFormat="1" applyFont="1" applyBorder="1" applyAlignment="1">
      <alignment horizontal="center" vertical="center"/>
    </xf>
    <xf numFmtId="166" fontId="6" fillId="0" borderId="22" xfId="0" applyNumberFormat="1" applyFont="1" applyBorder="1" applyAlignment="1">
      <alignment horizontal="center" vertical="center"/>
    </xf>
    <xf numFmtId="49" fontId="2" fillId="0" borderId="2" xfId="0" applyNumberFormat="1" applyFont="1" applyBorder="1" applyAlignment="1">
      <alignment horizontal="center" vertical="center"/>
    </xf>
    <xf numFmtId="0" fontId="13" fillId="0" borderId="15" xfId="0" applyFont="1" applyBorder="1" applyAlignment="1">
      <alignment horizontal="center" vertical="center"/>
    </xf>
  </cellXfs>
  <cellStyles count="4">
    <cellStyle name="Normal" xfId="0" builtinId="0"/>
    <cellStyle name="Normal 2" xfId="3" xr:uid="{00000000-0005-0000-0000-00002C000000}"/>
    <cellStyle name="Normal 2 2" xfId="1" xr:uid="{00000000-0005-0000-0000-00001A000000}"/>
    <cellStyle name="標準 2" xfId="2"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B1474"/>
  <sheetViews>
    <sheetView tabSelected="1" view="pageBreakPreview" zoomScaleNormal="100" workbookViewId="0">
      <selection activeCell="L67" sqref="L67:AQ67"/>
    </sheetView>
  </sheetViews>
  <sheetFormatPr defaultColWidth="4" defaultRowHeight="15"/>
  <cols>
    <col min="1" max="43" width="4" style="1"/>
    <col min="44" max="44" width="4" style="1" customWidth="1"/>
    <col min="45" max="45" width="4" style="1" hidden="1" customWidth="1"/>
    <col min="46" max="46" width="14.5703125" style="1" hidden="1" customWidth="1"/>
    <col min="47" max="47" width="11.5703125" style="1" hidden="1" customWidth="1"/>
    <col min="48" max="48" width="13.28515625" style="1" hidden="1" customWidth="1"/>
    <col min="49" max="49" width="8.42578125" style="1" hidden="1" customWidth="1"/>
    <col min="50" max="50" width="10.5703125" style="1" hidden="1" customWidth="1"/>
    <col min="51" max="51" width="8.5703125" style="599" hidden="1" customWidth="1"/>
    <col min="52" max="54" width="18.42578125" style="600" hidden="1" customWidth="1"/>
    <col min="55" max="55" width="18.42578125" style="1" hidden="1" customWidth="1"/>
    <col min="56" max="57" width="18.42578125" style="1" customWidth="1"/>
    <col min="58" max="82" width="4" style="1" customWidth="1"/>
    <col min="83" max="16384" width="4" style="1"/>
  </cols>
  <sheetData>
    <row r="1" spans="1:56">
      <c r="A1" s="1210"/>
      <c r="B1" s="1210"/>
      <c r="C1" s="1210"/>
      <c r="D1" s="1210"/>
      <c r="E1" s="1210"/>
      <c r="F1" s="1210"/>
      <c r="G1" s="1210"/>
      <c r="H1" s="1210"/>
      <c r="I1" s="1210"/>
      <c r="J1" s="1210"/>
      <c r="K1" s="1210"/>
      <c r="L1" s="1210"/>
      <c r="M1" s="1210"/>
      <c r="N1" s="1210"/>
      <c r="O1" s="1210"/>
      <c r="P1" s="1210"/>
      <c r="Q1" s="1210"/>
      <c r="R1" s="1210"/>
      <c r="S1" s="1210"/>
      <c r="T1" s="1210"/>
      <c r="U1" s="1210"/>
      <c r="V1" s="1210"/>
      <c r="W1" s="1210"/>
      <c r="X1" s="1210"/>
      <c r="Y1" s="1210"/>
      <c r="Z1" s="1210"/>
      <c r="AA1" s="1210"/>
      <c r="AB1" s="1210"/>
      <c r="AC1" s="1210"/>
      <c r="AD1" s="1210"/>
      <c r="AE1" s="1210"/>
      <c r="AF1" s="1210"/>
      <c r="AG1" s="1210"/>
      <c r="AH1" s="1210"/>
      <c r="AI1" s="1210"/>
      <c r="AJ1" s="1210"/>
      <c r="AK1" s="1210"/>
      <c r="AL1" s="1210"/>
      <c r="AM1" s="1210"/>
      <c r="AN1" s="1210"/>
      <c r="AO1" s="1210"/>
      <c r="AP1" s="1210"/>
      <c r="AQ1" s="1210"/>
    </row>
    <row r="2" spans="1:56" ht="19.5" customHeight="1">
      <c r="A2" s="1211" t="str">
        <f>IF(APNATION="","",VLOOKUP(APNATION,STUDENTINFO,2,0))</f>
        <v>Information Form</v>
      </c>
      <c r="B2" s="1211"/>
      <c r="C2" s="1211"/>
      <c r="D2" s="1211"/>
      <c r="E2" s="1211"/>
      <c r="F2" s="1211"/>
      <c r="G2" s="1211"/>
      <c r="H2" s="1211"/>
      <c r="I2" s="1211"/>
      <c r="J2" s="1211"/>
      <c r="K2" s="1212" t="str">
        <f>IF(APNATION="","",VLOOKUP(APNATION,STUDENTINFO,3,0))</f>
        <v>Date (Y/M/D):</v>
      </c>
      <c r="L2" s="1212"/>
      <c r="M2" s="1212"/>
      <c r="N2" s="1212"/>
      <c r="O2" s="1212"/>
      <c r="P2" s="1213"/>
      <c r="Q2" s="1214">
        <v>45537</v>
      </c>
      <c r="R2" s="1215"/>
      <c r="S2" s="1215"/>
      <c r="T2" s="1215"/>
      <c r="U2" s="1216"/>
      <c r="V2" s="1217"/>
      <c r="W2" s="1218"/>
      <c r="X2" s="1218"/>
      <c r="Y2" s="1218"/>
      <c r="Z2" s="1218"/>
      <c r="AA2" s="1218"/>
      <c r="AB2" s="1219"/>
      <c r="AC2" s="1220" t="s">
        <v>140</v>
      </c>
      <c r="AD2" s="1221"/>
      <c r="AE2" s="1221"/>
      <c r="AF2" s="1221"/>
      <c r="AG2" s="1221"/>
      <c r="AH2" s="1221"/>
      <c r="AI2" s="1221"/>
      <c r="AJ2" s="1221"/>
      <c r="AK2" s="1221"/>
      <c r="AL2" s="1221"/>
      <c r="AM2" s="1221"/>
      <c r="AN2" s="1221"/>
      <c r="AO2" s="1221"/>
      <c r="AP2" s="1222"/>
    </row>
    <row r="3" spans="1:56" ht="7.5" customHeight="1">
      <c r="A3" s="1223"/>
      <c r="B3" s="1223"/>
      <c r="C3" s="1223"/>
      <c r="D3" s="1223"/>
      <c r="E3" s="1223"/>
      <c r="F3" s="1223"/>
      <c r="G3" s="1223"/>
      <c r="H3" s="1223"/>
      <c r="I3" s="1223"/>
      <c r="J3" s="1223"/>
      <c r="K3" s="1223"/>
      <c r="L3" s="1223"/>
      <c r="M3" s="1223"/>
      <c r="N3" s="1223"/>
      <c r="O3" s="1223"/>
      <c r="P3" s="1223"/>
      <c r="Q3" s="1224"/>
      <c r="R3" s="1224"/>
      <c r="S3" s="1224"/>
      <c r="T3" s="1224"/>
      <c r="U3" s="1224"/>
      <c r="V3" s="1224"/>
      <c r="W3" s="1224"/>
      <c r="X3" s="1224"/>
      <c r="Y3" s="1224"/>
      <c r="Z3" s="1224"/>
      <c r="AA3" s="1224"/>
      <c r="AB3" s="1224"/>
      <c r="AC3" s="1223"/>
      <c r="AD3" s="1223"/>
      <c r="AE3" s="1223"/>
      <c r="AF3" s="1223"/>
      <c r="AG3" s="1223"/>
      <c r="AH3" s="1223"/>
      <c r="AI3" s="1223"/>
      <c r="AJ3" s="1223"/>
      <c r="AK3" s="1223"/>
      <c r="AL3" s="1223"/>
      <c r="AM3" s="1223"/>
      <c r="AN3" s="1223"/>
      <c r="AO3" s="1223"/>
      <c r="AP3" s="1223"/>
      <c r="AQ3" s="1223"/>
      <c r="AU3" s="617"/>
      <c r="AV3" s="617"/>
      <c r="AW3" s="646"/>
      <c r="AY3" s="647"/>
    </row>
    <row r="4" spans="1:56" ht="15" customHeight="1">
      <c r="A4" s="1191" t="str">
        <f>IF(APNATION="","",VLOOKUP(APNATION,STUDENTINFO,4,0))</f>
        <v xml:space="preserve"> </v>
      </c>
      <c r="B4" s="1192"/>
      <c r="C4" s="1192"/>
      <c r="D4" s="1192"/>
      <c r="E4" s="1192"/>
      <c r="F4" s="1193"/>
      <c r="G4" s="1194"/>
      <c r="H4" s="1194"/>
      <c r="I4" s="1194"/>
      <c r="J4" s="1194"/>
      <c r="K4" s="1194"/>
      <c r="L4" s="1194"/>
      <c r="M4" s="1194"/>
      <c r="N4" s="1194"/>
      <c r="O4" s="1194"/>
      <c r="P4" s="1194"/>
      <c r="Q4" s="1194"/>
      <c r="R4" s="1194"/>
      <c r="S4" s="1194"/>
      <c r="T4" s="1194"/>
      <c r="U4" s="1194"/>
      <c r="V4" s="1195" t="str">
        <f>IF(APNATION="","",VLOOKUP(APNATION,STUDENTINFO,5,0))</f>
        <v>Nationality</v>
      </c>
      <c r="W4" s="1196"/>
      <c r="X4" s="1196"/>
      <c r="Y4" s="1196"/>
      <c r="Z4" s="1196"/>
      <c r="AA4" s="1197"/>
      <c r="AB4" s="1198"/>
      <c r="AC4" s="1199"/>
      <c r="AD4" s="1199"/>
      <c r="AE4" s="1199"/>
      <c r="AF4" s="1199"/>
      <c r="AG4" s="1199"/>
      <c r="AH4" s="1199"/>
      <c r="AI4" s="1199"/>
      <c r="AJ4" s="1199"/>
      <c r="AK4" s="1199"/>
      <c r="AL4" s="1199"/>
      <c r="AM4" s="1199"/>
      <c r="AN4" s="1199"/>
      <c r="AO4" s="1199"/>
      <c r="AP4" s="1199"/>
      <c r="AQ4" s="1200"/>
      <c r="AU4" s="617"/>
      <c r="AV4" s="617"/>
      <c r="AY4" s="647"/>
      <c r="AZ4" s="784" t="s">
        <v>1</v>
      </c>
      <c r="BA4" s="648" t="s">
        <v>2</v>
      </c>
      <c r="BB4" s="649" t="s">
        <v>3</v>
      </c>
    </row>
    <row r="5" spans="1:56" ht="15" customHeight="1">
      <c r="A5" s="1151" t="str">
        <f>IF(APNATION="","",VLOOKUP(APNATION,VARIABLES,2,0))</f>
        <v>Full Name</v>
      </c>
      <c r="B5" s="1152"/>
      <c r="C5" s="1152"/>
      <c r="D5" s="1152"/>
      <c r="E5" s="1153"/>
      <c r="F5" s="950"/>
      <c r="G5" s="951"/>
      <c r="H5" s="951"/>
      <c r="I5" s="951"/>
      <c r="J5" s="951"/>
      <c r="K5" s="951"/>
      <c r="L5" s="951"/>
      <c r="M5" s="951"/>
      <c r="N5" s="951"/>
      <c r="O5" s="951"/>
      <c r="P5" s="951"/>
      <c r="Q5" s="951"/>
      <c r="R5" s="951"/>
      <c r="S5" s="951"/>
      <c r="T5" s="951"/>
      <c r="U5" s="1201"/>
      <c r="V5" s="1157" t="str">
        <f>IF(APNATION="","",VLOOKUP(APNATION,STUDENTINFO,9,0))</f>
        <v>Are you married?</v>
      </c>
      <c r="W5" s="1152"/>
      <c r="X5" s="1152"/>
      <c r="Y5" s="1152"/>
      <c r="Z5" s="1152"/>
      <c r="AA5" s="1153"/>
      <c r="AB5" s="1202"/>
      <c r="AC5" s="1203"/>
      <c r="AD5" s="1203"/>
      <c r="AE5" s="1204" t="str">
        <f>IF(APNATION="","",VLOOKUP(APNATION,STUDENTINFO,17,0))</f>
        <v>Spouse's Name</v>
      </c>
      <c r="AF5" s="1205"/>
      <c r="AG5" s="1205"/>
      <c r="AH5" s="1205"/>
      <c r="AI5" s="1206"/>
      <c r="AJ5" s="1207"/>
      <c r="AK5" s="1208"/>
      <c r="AL5" s="1208"/>
      <c r="AM5" s="1208"/>
      <c r="AN5" s="1208"/>
      <c r="AO5" s="1208"/>
      <c r="AP5" s="1208"/>
      <c r="AQ5" s="1209"/>
      <c r="AU5" s="617"/>
      <c r="AV5" s="617"/>
      <c r="AY5" s="647"/>
      <c r="AZ5" s="785"/>
      <c r="BA5" s="650" t="s">
        <v>4</v>
      </c>
      <c r="BB5" s="651" t="str">
        <f>IF(APNATION="","",VLOOKUP(APNATION,TRANSLATION,2,0))</f>
        <v>COUNTRYEN</v>
      </c>
      <c r="BD5" s="652"/>
    </row>
    <row r="6" spans="1:56" ht="15" customHeight="1">
      <c r="A6" s="1151" t="str">
        <f>IF(APNATION="","",VLOOKUP(APNATION,STUDENTINFO,6,0))</f>
        <v>Gender</v>
      </c>
      <c r="B6" s="1152"/>
      <c r="C6" s="1152"/>
      <c r="D6" s="1152"/>
      <c r="E6" s="1153"/>
      <c r="F6" s="601" t="s">
        <v>5</v>
      </c>
      <c r="G6" s="1181" t="str">
        <f>IF(APNATION="","",VLOOKUP(APNATION,STUDENTINFO,7,0))</f>
        <v>Male</v>
      </c>
      <c r="H6" s="1181"/>
      <c r="I6" s="1181"/>
      <c r="J6" s="601" t="s">
        <v>5</v>
      </c>
      <c r="K6" s="1182" t="str">
        <f>IF(APNATION="","",VLOOKUP(APNATION,STUDENTINFO,8,0))</f>
        <v>Female</v>
      </c>
      <c r="L6" s="1182"/>
      <c r="M6" s="1182"/>
      <c r="N6" s="612"/>
      <c r="O6" s="612"/>
      <c r="P6" s="612"/>
      <c r="Q6" s="612"/>
      <c r="R6" s="612"/>
      <c r="S6" s="612"/>
      <c r="T6" s="612"/>
      <c r="U6" s="615"/>
      <c r="V6" s="1183" t="str">
        <f>IF(APNATION="","",VLOOKUP(APNATION,FORMINFO,85,0))</f>
        <v>Recruitment Agency Name</v>
      </c>
      <c r="W6" s="1183"/>
      <c r="X6" s="1183"/>
      <c r="Y6" s="1183"/>
      <c r="Z6" s="1183"/>
      <c r="AA6" s="1183"/>
      <c r="AB6" s="1184"/>
      <c r="AC6" s="1184"/>
      <c r="AD6" s="1184"/>
      <c r="AE6" s="1184"/>
      <c r="AF6" s="1184"/>
      <c r="AG6" s="1184"/>
      <c r="AH6" s="1184"/>
      <c r="AI6" s="1184"/>
      <c r="AJ6" s="1184"/>
      <c r="AK6" s="1184"/>
      <c r="AL6" s="1184"/>
      <c r="AM6" s="1184"/>
      <c r="AN6" s="1184"/>
      <c r="AO6" s="1184"/>
      <c r="AP6" s="1184"/>
      <c r="AQ6" s="1185"/>
      <c r="AU6" s="617"/>
      <c r="AV6" s="617"/>
      <c r="AW6" s="653" t="str">
        <f>IF(F6="■",G6,K6)</f>
        <v>Female</v>
      </c>
      <c r="AY6" s="647"/>
      <c r="AZ6" s="785"/>
      <c r="BA6" s="654" t="s">
        <v>6</v>
      </c>
      <c r="BB6" s="655" t="str">
        <f>IF(APNATION="","",VLOOKUP(APNATION,YESNOTR,2,0))</f>
        <v>YESNOEN</v>
      </c>
      <c r="BD6" s="656"/>
    </row>
    <row r="7" spans="1:56" ht="15" customHeight="1">
      <c r="A7" s="1151" t="str">
        <f>IF(APNATION="","",VLOOKUP(APNATION,STUDENTINFO,12,0))</f>
        <v>Date of Birth (Y/M/D)</v>
      </c>
      <c r="B7" s="1152"/>
      <c r="C7" s="1152"/>
      <c r="D7" s="1152"/>
      <c r="E7" s="1153"/>
      <c r="F7" s="1186"/>
      <c r="G7" s="1187"/>
      <c r="H7" s="1187"/>
      <c r="I7" s="1187"/>
      <c r="J7" s="1187"/>
      <c r="K7" s="1187"/>
      <c r="L7" s="1188" t="str">
        <f>IF(APNATION="","",VLOOKUP(APNATION,STUDENTINFO,16,0))&amp;"　"&amp;IF(STUDENTDOB="","",IFERROR(DATEDIF(STUDENTDOB,$Q$2,"Y"),""))</f>
        <v>Age:　</v>
      </c>
      <c r="M7" s="1189"/>
      <c r="N7" s="1189"/>
      <c r="O7" s="1189"/>
      <c r="P7" s="1189"/>
      <c r="Q7" s="1189"/>
      <c r="R7" s="1189"/>
      <c r="S7" s="1189"/>
      <c r="T7" s="1189"/>
      <c r="U7" s="1190"/>
      <c r="V7" s="1183" t="str">
        <f>IF(APNATION="","",VLOOKUP(APNATION,FORMINFO,84,0))</f>
        <v>Full Agency Address</v>
      </c>
      <c r="W7" s="1183"/>
      <c r="X7" s="1183"/>
      <c r="Y7" s="1183"/>
      <c r="Z7" s="1183"/>
      <c r="AA7" s="1183"/>
      <c r="AB7" s="1184"/>
      <c r="AC7" s="1184"/>
      <c r="AD7" s="1184"/>
      <c r="AE7" s="1184"/>
      <c r="AF7" s="1184"/>
      <c r="AG7" s="1184"/>
      <c r="AH7" s="1184"/>
      <c r="AI7" s="1184"/>
      <c r="AJ7" s="1184"/>
      <c r="AK7" s="1184"/>
      <c r="AL7" s="1184"/>
      <c r="AM7" s="1184"/>
      <c r="AN7" s="1184"/>
      <c r="AO7" s="1184"/>
      <c r="AP7" s="1184"/>
      <c r="AQ7" s="1185"/>
      <c r="AU7" s="617"/>
      <c r="AV7" s="617"/>
      <c r="AW7" s="653" t="str">
        <f>IF(P15="■",Q15,T15)</f>
        <v>No</v>
      </c>
      <c r="AY7" s="647"/>
      <c r="AZ7" s="785"/>
      <c r="BA7" s="654" t="s">
        <v>7</v>
      </c>
      <c r="BB7" s="655" t="str">
        <f>IF(APNATION="","",VLOOKUP(APNATION,VISATR,2,0))</f>
        <v>VISAEN</v>
      </c>
      <c r="BD7" s="656"/>
    </row>
    <row r="8" spans="1:56" ht="15" customHeight="1">
      <c r="A8" s="1151" t="str">
        <f>IF(APNATION="","",VLOOKUP(APNATION,STUDENTINFO,18,0))</f>
        <v>Place of Birth</v>
      </c>
      <c r="B8" s="1152"/>
      <c r="C8" s="1152"/>
      <c r="D8" s="1152"/>
      <c r="E8" s="1153"/>
      <c r="F8" s="1154"/>
      <c r="G8" s="1155"/>
      <c r="H8" s="1155"/>
      <c r="I8" s="1155"/>
      <c r="J8" s="1155"/>
      <c r="K8" s="1155"/>
      <c r="L8" s="1155"/>
      <c r="M8" s="1155"/>
      <c r="N8" s="1155"/>
      <c r="O8" s="1155"/>
      <c r="P8" s="1155"/>
      <c r="Q8" s="1155"/>
      <c r="R8" s="1155"/>
      <c r="S8" s="1155"/>
      <c r="T8" s="1155"/>
      <c r="U8" s="1156"/>
      <c r="V8" s="1157" t="str">
        <f>IF(APNATION="","",VLOOKUP(APNATION,STUDENTINFO,19,0))</f>
        <v>Occupation</v>
      </c>
      <c r="W8" s="1152"/>
      <c r="X8" s="1152"/>
      <c r="Y8" s="1152"/>
      <c r="Z8" s="1152"/>
      <c r="AA8" s="1152"/>
      <c r="AB8" s="1158"/>
      <c r="AC8" s="1159"/>
      <c r="AD8" s="1159"/>
      <c r="AE8" s="1159"/>
      <c r="AF8" s="1159"/>
      <c r="AG8" s="1159"/>
      <c r="AH8" s="1159"/>
      <c r="AI8" s="1159"/>
      <c r="AJ8" s="1159"/>
      <c r="AK8" s="1159"/>
      <c r="AL8" s="1159"/>
      <c r="AM8" s="1159"/>
      <c r="AN8" s="1159"/>
      <c r="AO8" s="1159"/>
      <c r="AP8" s="1159"/>
      <c r="AQ8" s="1160"/>
      <c r="AR8" s="618"/>
      <c r="AS8" s="618"/>
      <c r="AT8" s="619"/>
      <c r="AU8" s="617"/>
      <c r="AV8" s="617"/>
      <c r="AY8" s="647"/>
      <c r="AZ8" s="785"/>
      <c r="BA8" s="654" t="s">
        <v>8</v>
      </c>
      <c r="BB8" s="655" t="str">
        <f>IF(APNATION="","",VLOOKUP(APNATION,FAMILYTR,2,0))</f>
        <v>FAMILYEN</v>
      </c>
    </row>
    <row r="9" spans="1:56" ht="15" customHeight="1">
      <c r="A9" s="1175" t="str">
        <f>IF(APNATION="","",VLOOKUP(APNATION,STUDENTINFO,20,0))</f>
        <v>Home Address</v>
      </c>
      <c r="B9" s="1176"/>
      <c r="C9" s="1176"/>
      <c r="D9" s="1176"/>
      <c r="E9" s="1177"/>
      <c r="F9" s="1161" t="str">
        <f>IF(APNATION="","",VLOOKUP(APNATION,VARIABLES,3,0))</f>
        <v>Registered (If different)</v>
      </c>
      <c r="G9" s="1162"/>
      <c r="H9" s="1162"/>
      <c r="I9" s="1162"/>
      <c r="J9" s="1163"/>
      <c r="K9" s="1163"/>
      <c r="L9" s="1163"/>
      <c r="M9" s="1163"/>
      <c r="N9" s="1163"/>
      <c r="O9" s="1163"/>
      <c r="P9" s="1163"/>
      <c r="Q9" s="1163"/>
      <c r="R9" s="1163"/>
      <c r="S9" s="1163"/>
      <c r="T9" s="1163"/>
      <c r="U9" s="1163"/>
      <c r="V9" s="1163"/>
      <c r="W9" s="1163"/>
      <c r="X9" s="1163"/>
      <c r="Y9" s="1163"/>
      <c r="Z9" s="1163"/>
      <c r="AA9" s="1163"/>
      <c r="AB9" s="1163"/>
      <c r="AC9" s="1163"/>
      <c r="AD9" s="1163"/>
      <c r="AE9" s="1163"/>
      <c r="AF9" s="1163"/>
      <c r="AG9" s="1163"/>
      <c r="AH9" s="1163"/>
      <c r="AI9" s="1163"/>
      <c r="AJ9" s="1163"/>
      <c r="AK9" s="1163"/>
      <c r="AL9" s="1163"/>
      <c r="AM9" s="1163"/>
      <c r="AN9" s="1163"/>
      <c r="AO9" s="1163"/>
      <c r="AP9" s="1163"/>
      <c r="AQ9" s="1164"/>
      <c r="AU9" s="617"/>
      <c r="AV9" s="617"/>
      <c r="AY9" s="647"/>
      <c r="AZ9" s="785"/>
      <c r="BA9" s="654" t="s">
        <v>9</v>
      </c>
      <c r="BB9" s="655" t="str">
        <f>IF(APNATION="","",VLOOKUP(APNATION,SPONSORTR,2,0))</f>
        <v>SPONSOREN</v>
      </c>
    </row>
    <row r="10" spans="1:56" ht="15" customHeight="1">
      <c r="A10" s="1178"/>
      <c r="B10" s="1179"/>
      <c r="C10" s="1179"/>
      <c r="D10" s="1179"/>
      <c r="E10" s="1180"/>
      <c r="F10" s="1161" t="str">
        <f>IF(APNATION="","",VLOOKUP(APNATION,VARIABLES,4,0))</f>
        <v>Current Address：</v>
      </c>
      <c r="G10" s="1162"/>
      <c r="H10" s="1162"/>
      <c r="I10" s="1162"/>
      <c r="J10" s="1165"/>
      <c r="K10" s="1163"/>
      <c r="L10" s="1163"/>
      <c r="M10" s="1163"/>
      <c r="N10" s="1163"/>
      <c r="O10" s="1163"/>
      <c r="P10" s="1163"/>
      <c r="Q10" s="1163"/>
      <c r="R10" s="1163"/>
      <c r="S10" s="1163"/>
      <c r="T10" s="1163"/>
      <c r="U10" s="1163"/>
      <c r="V10" s="1163"/>
      <c r="W10" s="1163"/>
      <c r="X10" s="1163"/>
      <c r="Y10" s="1163"/>
      <c r="Z10" s="1163"/>
      <c r="AA10" s="1163"/>
      <c r="AB10" s="1163"/>
      <c r="AC10" s="1163"/>
      <c r="AD10" s="1163"/>
      <c r="AE10" s="1163"/>
      <c r="AF10" s="1163"/>
      <c r="AG10" s="1163"/>
      <c r="AH10" s="1163"/>
      <c r="AI10" s="1163"/>
      <c r="AJ10" s="1163"/>
      <c r="AK10" s="1163"/>
      <c r="AL10" s="1163"/>
      <c r="AM10" s="1163"/>
      <c r="AN10" s="1163"/>
      <c r="AO10" s="1163"/>
      <c r="AP10" s="1163"/>
      <c r="AQ10" s="1164"/>
      <c r="AT10" s="598"/>
      <c r="AU10" s="620" t="s">
        <v>10</v>
      </c>
      <c r="AV10" s="617"/>
      <c r="AY10" s="647"/>
      <c r="AZ10" s="785"/>
      <c r="BA10" s="654" t="s">
        <v>11</v>
      </c>
      <c r="BB10" s="655" t="str">
        <f>IF(APNATION="","",VLOOKUP(APNATION,MAJORSTR,2,0))</f>
        <v>MAJORSEN</v>
      </c>
    </row>
    <row r="11" spans="1:56" ht="15" customHeight="1">
      <c r="A11" s="1166" t="str">
        <f>IF(APNATION="","",VLOOKUP(APNATION,STUDENTINFO,21,0))</f>
        <v>Telephone Number</v>
      </c>
      <c r="B11" s="1167"/>
      <c r="C11" s="1167"/>
      <c r="D11" s="1167"/>
      <c r="E11" s="1168"/>
      <c r="F11" s="1169" t="str">
        <f>IF(AB4="","",VLOOKUP(AB4,NATIONS,3,0))</f>
        <v/>
      </c>
      <c r="G11" s="1169"/>
      <c r="H11" s="1169"/>
      <c r="I11" s="1170"/>
      <c r="J11" s="1170"/>
      <c r="K11" s="1170"/>
      <c r="L11" s="1170"/>
      <c r="M11" s="1170"/>
      <c r="N11" s="1170"/>
      <c r="O11" s="1170"/>
      <c r="P11" s="1170"/>
      <c r="Q11" s="1170"/>
      <c r="R11" s="1170"/>
      <c r="S11" s="1170"/>
      <c r="T11" s="1170"/>
      <c r="U11" s="1171"/>
      <c r="V11" s="1172" t="str">
        <f>IF(APNATION="","",VLOOKUP(APNATION,STUDENTINFO,22,0))</f>
        <v>Place for Visa Application</v>
      </c>
      <c r="W11" s="1172"/>
      <c r="X11" s="1172"/>
      <c r="Y11" s="1172"/>
      <c r="Z11" s="1172"/>
      <c r="AA11" s="1172"/>
      <c r="AB11" s="1173"/>
      <c r="AC11" s="1173"/>
      <c r="AD11" s="1173"/>
      <c r="AE11" s="1173"/>
      <c r="AF11" s="1173"/>
      <c r="AG11" s="1173"/>
      <c r="AH11" s="1173"/>
      <c r="AI11" s="1173"/>
      <c r="AJ11" s="1173"/>
      <c r="AK11" s="1173"/>
      <c r="AL11" s="1173"/>
      <c r="AM11" s="1173"/>
      <c r="AN11" s="1173"/>
      <c r="AO11" s="1173"/>
      <c r="AP11" s="1173"/>
      <c r="AQ11" s="1174"/>
      <c r="AT11" s="598"/>
      <c r="AU11" s="621" t="str">
        <f>APPLICANTGENDERSELECT</f>
        <v>Female</v>
      </c>
      <c r="AV11" s="617"/>
      <c r="AY11" s="647"/>
      <c r="AZ11" s="785"/>
      <c r="BA11" s="654" t="s">
        <v>12</v>
      </c>
      <c r="BB11" s="655" t="str">
        <f>IF(APNATION="","",VLOOKUP(APNATION,JOBSTR,2,0))</f>
        <v>JOBSEN</v>
      </c>
    </row>
    <row r="12" spans="1:56" ht="15" customHeight="1">
      <c r="A12" s="750" t="str">
        <f>IF(APNATION="","",VLOOKUP(APNATION,STUDENTINFO,23,0))</f>
        <v>Passport Number</v>
      </c>
      <c r="B12" s="751"/>
      <c r="C12" s="751"/>
      <c r="D12" s="751"/>
      <c r="E12" s="752"/>
      <c r="F12" s="734"/>
      <c r="G12" s="735"/>
      <c r="H12" s="735"/>
      <c r="I12" s="735"/>
      <c r="J12" s="735"/>
      <c r="K12" s="735"/>
      <c r="L12" s="735"/>
      <c r="M12" s="735"/>
      <c r="N12" s="735"/>
      <c r="O12" s="735"/>
      <c r="P12" s="735"/>
      <c r="Q12" s="735"/>
      <c r="R12" s="735"/>
      <c r="S12" s="735"/>
      <c r="T12" s="735"/>
      <c r="U12" s="736"/>
      <c r="V12" s="746" t="str">
        <f>IF(APNATION="","",VLOOKUP(APNATION,STUDENTINFO,25,0))</f>
        <v>Issue Date (Y/M/D)</v>
      </c>
      <c r="W12" s="747"/>
      <c r="X12" s="747"/>
      <c r="Y12" s="747"/>
      <c r="Z12" s="747"/>
      <c r="AA12" s="747"/>
      <c r="AB12" s="740"/>
      <c r="AC12" s="741"/>
      <c r="AD12" s="741"/>
      <c r="AE12" s="741"/>
      <c r="AF12" s="741"/>
      <c r="AG12" s="746" t="str">
        <f>IF(APNATION="","",VLOOKUP(APNATION,STUDENTINFO,26,0))</f>
        <v>Expiry Date (Y/M/D)</v>
      </c>
      <c r="AH12" s="747"/>
      <c r="AI12" s="747"/>
      <c r="AJ12" s="747"/>
      <c r="AK12" s="747"/>
      <c r="AL12" s="747"/>
      <c r="AM12" s="740"/>
      <c r="AN12" s="741"/>
      <c r="AO12" s="741"/>
      <c r="AP12" s="741"/>
      <c r="AQ12" s="742"/>
      <c r="AU12" s="622" t="str">
        <f>VLOOKUP(AU11,GENDERTRANSLATION,2)</f>
        <v>女</v>
      </c>
      <c r="AV12" s="617"/>
      <c r="AY12" s="647"/>
      <c r="AZ12" s="785"/>
      <c r="BA12" s="654" t="s">
        <v>13</v>
      </c>
      <c r="BB12" s="655" t="str">
        <f>IF(APNATION="","",VLOOKUP(APNATION,SCHOOLTR,2,0))</f>
        <v>SCHOOLEN</v>
      </c>
    </row>
    <row r="13" spans="1:56" ht="15" customHeight="1">
      <c r="A13" s="753"/>
      <c r="B13" s="749"/>
      <c r="C13" s="749"/>
      <c r="D13" s="749"/>
      <c r="E13" s="754"/>
      <c r="F13" s="737"/>
      <c r="G13" s="738"/>
      <c r="H13" s="738"/>
      <c r="I13" s="738"/>
      <c r="J13" s="738"/>
      <c r="K13" s="738"/>
      <c r="L13" s="738"/>
      <c r="M13" s="738"/>
      <c r="N13" s="738"/>
      <c r="O13" s="738"/>
      <c r="P13" s="738"/>
      <c r="Q13" s="738"/>
      <c r="R13" s="738"/>
      <c r="S13" s="738"/>
      <c r="T13" s="738"/>
      <c r="U13" s="739"/>
      <c r="V13" s="748"/>
      <c r="W13" s="749"/>
      <c r="X13" s="749"/>
      <c r="Y13" s="749"/>
      <c r="Z13" s="749"/>
      <c r="AA13" s="749"/>
      <c r="AB13" s="743"/>
      <c r="AC13" s="744"/>
      <c r="AD13" s="744"/>
      <c r="AE13" s="744"/>
      <c r="AF13" s="744"/>
      <c r="AG13" s="748"/>
      <c r="AH13" s="749"/>
      <c r="AI13" s="749"/>
      <c r="AJ13" s="749"/>
      <c r="AK13" s="749"/>
      <c r="AL13" s="749"/>
      <c r="AM13" s="743"/>
      <c r="AN13" s="744"/>
      <c r="AO13" s="744"/>
      <c r="AP13" s="744"/>
      <c r="AQ13" s="745"/>
      <c r="AU13" s="623">
        <f>IFERROR(DATEDIF(STUDENTDOB,$Q$2,"Y"),"")</f>
        <v>124</v>
      </c>
      <c r="AV13" s="617"/>
      <c r="AY13" s="647"/>
      <c r="AZ13" s="785"/>
      <c r="BA13" s="657" t="s">
        <v>10</v>
      </c>
      <c r="BB13" s="655" t="str">
        <f>IF(APNATION="","",VLOOKUP(APNATION,GENDERTR,2,0))</f>
        <v>GENDEREN</v>
      </c>
    </row>
    <row r="14" spans="1:56" ht="15" customHeight="1">
      <c r="A14" s="1141" t="str">
        <f>IF(APNATION="","",VLOOKUP(APNATION,RESUMEINFO,15,0))</f>
        <v>Have you ever applied for a Certificate of Eligibility?</v>
      </c>
      <c r="B14" s="1142"/>
      <c r="C14" s="1142"/>
      <c r="D14" s="1142"/>
      <c r="E14" s="1142"/>
      <c r="F14" s="1142"/>
      <c r="G14" s="1142"/>
      <c r="H14" s="1142"/>
      <c r="I14" s="1142"/>
      <c r="J14" s="1142"/>
      <c r="K14" s="1142"/>
      <c r="L14" s="1142"/>
      <c r="M14" s="1142"/>
      <c r="N14" s="1142"/>
      <c r="O14" s="1143"/>
      <c r="P14" s="613" t="s">
        <v>5</v>
      </c>
      <c r="Q14" s="1144" t="str">
        <f>IF(APNATION="","",VLOOKUP(APNATION,STUDENTINFO,10,0))</f>
        <v>Yes</v>
      </c>
      <c r="R14" s="1144"/>
      <c r="S14" s="616" t="s">
        <v>5</v>
      </c>
      <c r="T14" s="1144" t="str">
        <f>IF(APNATION="","",VLOOKUP(APNATION,STUDENTINFO,11,0))</f>
        <v>No</v>
      </c>
      <c r="U14" s="1144"/>
      <c r="V14" s="1145" t="str">
        <f>IF(APNATION="","",VLOOKUP(APNATION,RESUMEINFO,18,0))</f>
        <v>If "yes" how many times?</v>
      </c>
      <c r="W14" s="1146"/>
      <c r="X14" s="1146"/>
      <c r="Y14" s="1146"/>
      <c r="Z14" s="1146"/>
      <c r="AA14" s="1146"/>
      <c r="AB14" s="1147"/>
      <c r="AC14" s="1148"/>
      <c r="AD14" s="1149" t="str">
        <f>IF(APNATION="","",VLOOKUP(APNATION,RESUMEINFO,20,0))</f>
        <v>times</v>
      </c>
      <c r="AE14" s="1149"/>
      <c r="AF14" s="1149"/>
      <c r="AG14" s="1145" t="str">
        <f>IF(APNATION="","",VLOOKUP(APNATION,RESUMEINFO,19,0))</f>
        <v>Number of denied applications.</v>
      </c>
      <c r="AH14" s="1146"/>
      <c r="AI14" s="1146"/>
      <c r="AJ14" s="1146"/>
      <c r="AK14" s="1146"/>
      <c r="AL14" s="1146"/>
      <c r="AM14" s="1147"/>
      <c r="AN14" s="1148"/>
      <c r="AO14" s="1149" t="str">
        <f>IF(APNATION="","",VLOOKUP(APNATION,RESUMEINFO,20,0))</f>
        <v>times</v>
      </c>
      <c r="AP14" s="1149"/>
      <c r="AQ14" s="1150"/>
      <c r="AR14" s="624"/>
      <c r="AS14" s="624"/>
      <c r="AU14" s="625"/>
      <c r="AV14" s="597"/>
      <c r="AY14" s="647"/>
      <c r="AZ14" s="785"/>
      <c r="BA14" s="657" t="s">
        <v>14</v>
      </c>
      <c r="BB14" s="655" t="str">
        <f>IF(APNATION="","",VLOOKUP(APNATION,PLANTR,2,0))</f>
        <v>PLANEN</v>
      </c>
    </row>
    <row r="15" spans="1:56" ht="15" customHeight="1">
      <c r="A15" s="1126" t="str">
        <f>IF(APNATION="","",VLOOKUP(APNATION,STUDENTINFO,28,0))</f>
        <v>Have you ever applied for a Japanese visa?</v>
      </c>
      <c r="B15" s="1127"/>
      <c r="C15" s="1127"/>
      <c r="D15" s="1127"/>
      <c r="E15" s="1127"/>
      <c r="F15" s="1127"/>
      <c r="G15" s="1127"/>
      <c r="H15" s="1127"/>
      <c r="I15" s="1127"/>
      <c r="J15" s="1127"/>
      <c r="K15" s="1127"/>
      <c r="L15" s="1127"/>
      <c r="M15" s="1127"/>
      <c r="N15" s="1127"/>
      <c r="O15" s="1128"/>
      <c r="P15" s="614" t="s">
        <v>5</v>
      </c>
      <c r="Q15" s="1129" t="str">
        <f>IF(APNATION="","",VLOOKUP(APNATION,STUDENTINFO,10,0))</f>
        <v>Yes</v>
      </c>
      <c r="R15" s="1129"/>
      <c r="S15" s="614" t="s">
        <v>5</v>
      </c>
      <c r="T15" s="1129" t="str">
        <f>IF(APNATION="","",VLOOKUP(APNATION,STUDENTINFO,11,0))</f>
        <v>No</v>
      </c>
      <c r="U15" s="1129"/>
      <c r="V15" s="1130" t="str">
        <f>IF(APNATION="","",VLOOKUP(APNATION,STUDENTINFO,33,0))</f>
        <v>Plans After Graduation</v>
      </c>
      <c r="W15" s="1131"/>
      <c r="X15" s="1131"/>
      <c r="Y15" s="1131"/>
      <c r="Z15" s="1131"/>
      <c r="AA15" s="1132"/>
      <c r="AB15" s="1123"/>
      <c r="AC15" s="1124"/>
      <c r="AD15" s="1124"/>
      <c r="AE15" s="1124"/>
      <c r="AF15" s="1124"/>
      <c r="AG15" s="1124"/>
      <c r="AH15" s="1124"/>
      <c r="AI15" s="1124"/>
      <c r="AJ15" s="1124"/>
      <c r="AK15" s="1124"/>
      <c r="AL15" s="1124"/>
      <c r="AM15" s="1124"/>
      <c r="AN15" s="1124"/>
      <c r="AO15" s="1124"/>
      <c r="AP15" s="1124"/>
      <c r="AQ15" s="1125"/>
      <c r="AR15" s="624"/>
      <c r="AS15" s="624"/>
      <c r="AU15" s="625"/>
      <c r="AV15" s="597"/>
      <c r="AY15" s="647"/>
      <c r="AZ15" s="785"/>
      <c r="BA15" s="657"/>
      <c r="BB15" s="655"/>
    </row>
    <row r="16" spans="1:56" ht="15" customHeight="1">
      <c r="A16" s="1133" t="str">
        <f>IF(APNATION="","",VLOOKUP(APNATION,FORMINFO,83,0))</f>
        <v>How many times have you been to Japan?</v>
      </c>
      <c r="B16" s="1134"/>
      <c r="C16" s="1134"/>
      <c r="D16" s="1134"/>
      <c r="E16" s="1134"/>
      <c r="F16" s="1134"/>
      <c r="G16" s="1134"/>
      <c r="H16" s="1134"/>
      <c r="I16" s="1134"/>
      <c r="J16" s="1134"/>
      <c r="K16" s="1134"/>
      <c r="L16" s="1134"/>
      <c r="M16" s="1134"/>
      <c r="N16" s="1134"/>
      <c r="O16" s="1135"/>
      <c r="P16" s="1136"/>
      <c r="Q16" s="1136"/>
      <c r="R16" s="1136"/>
      <c r="S16" s="1136"/>
      <c r="T16" s="1136"/>
      <c r="U16" s="1137"/>
      <c r="V16" s="1138" t="str">
        <f>IF(APNATION="","",VLOOKUP(APNATION,STUDENTINFO,34,0))</f>
        <v>Desired Major</v>
      </c>
      <c r="W16" s="1139"/>
      <c r="X16" s="1139"/>
      <c r="Y16" s="1139"/>
      <c r="Z16" s="1139"/>
      <c r="AA16" s="1140"/>
      <c r="AB16" s="1116"/>
      <c r="AC16" s="1117"/>
      <c r="AD16" s="1117"/>
      <c r="AE16" s="1117"/>
      <c r="AF16" s="1117"/>
      <c r="AG16" s="1117"/>
      <c r="AH16" s="1117"/>
      <c r="AI16" s="1117"/>
      <c r="AJ16" s="1117"/>
      <c r="AK16" s="1117"/>
      <c r="AL16" s="1117"/>
      <c r="AM16" s="1117"/>
      <c r="AN16" s="1117"/>
      <c r="AO16" s="1117"/>
      <c r="AP16" s="1117"/>
      <c r="AQ16" s="1118"/>
      <c r="AT16" s="619"/>
      <c r="AU16" s="1119"/>
      <c r="AV16" s="1119"/>
      <c r="AY16" s="647"/>
      <c r="AZ16" s="785"/>
      <c r="BA16" s="657" t="s">
        <v>15</v>
      </c>
      <c r="BB16" s="655" t="str">
        <f>IF(APNATION="","",VLOOKUP(APNATION,PLANTR,2,0))</f>
        <v>PLANEN</v>
      </c>
    </row>
    <row r="17" spans="1:59" ht="15" customHeight="1">
      <c r="A17" s="1091" t="str">
        <f>IF(APNATION="","",VLOOKUP(APNATION,STUDENTINFO,27,0))</f>
        <v>Japanese Travel History</v>
      </c>
      <c r="B17" s="1092"/>
      <c r="C17" s="1092"/>
      <c r="D17" s="1092"/>
      <c r="E17" s="1092"/>
      <c r="F17" s="1092"/>
      <c r="G17" s="1093"/>
      <c r="H17" s="771">
        <v>1</v>
      </c>
      <c r="I17" s="1120" t="str">
        <f>IF(APNATION="","",VLOOKUP(APNATION,STUDENTINFO,29,0))</f>
        <v>Arrival Date (Y/M/D)</v>
      </c>
      <c r="J17" s="1121"/>
      <c r="K17" s="1121"/>
      <c r="L17" s="1121"/>
      <c r="M17" s="1121"/>
      <c r="N17" s="1121"/>
      <c r="O17" s="1122"/>
      <c r="P17" s="1100"/>
      <c r="Q17" s="1100"/>
      <c r="R17" s="1100"/>
      <c r="S17" s="1100"/>
      <c r="T17" s="1100"/>
      <c r="U17" s="1101"/>
      <c r="V17" s="1102" t="str">
        <f>IF(APNATION="","",VLOOKUP(APNATION,STUDENTINFO,31,0))</f>
        <v>Satus of Residence</v>
      </c>
      <c r="W17" s="1103"/>
      <c r="X17" s="1103"/>
      <c r="Y17" s="1103"/>
      <c r="Z17" s="1103"/>
      <c r="AA17" s="1104"/>
      <c r="AB17" s="1123"/>
      <c r="AC17" s="1124"/>
      <c r="AD17" s="1124"/>
      <c r="AE17" s="1124"/>
      <c r="AF17" s="1124"/>
      <c r="AG17" s="1124"/>
      <c r="AH17" s="1124"/>
      <c r="AI17" s="1124"/>
      <c r="AJ17" s="1124"/>
      <c r="AK17" s="1124"/>
      <c r="AL17" s="1124"/>
      <c r="AM17" s="1124"/>
      <c r="AN17" s="1124"/>
      <c r="AO17" s="1124"/>
      <c r="AP17" s="1124"/>
      <c r="AQ17" s="1125"/>
      <c r="AT17" s="619"/>
      <c r="AU17" s="626"/>
      <c r="AV17" s="627"/>
      <c r="AY17" s="647"/>
      <c r="AZ17" s="785"/>
      <c r="BA17" s="657" t="s">
        <v>15</v>
      </c>
      <c r="BB17" s="655" t="str">
        <f>IF(APNATION="","",VLOOKUP(APNATION,STATUSTR,2,0))</f>
        <v>STATUSEN</v>
      </c>
    </row>
    <row r="18" spans="1:59" ht="15" customHeight="1">
      <c r="A18" s="750"/>
      <c r="B18" s="751"/>
      <c r="C18" s="751"/>
      <c r="D18" s="751"/>
      <c r="E18" s="751"/>
      <c r="F18" s="751"/>
      <c r="G18" s="752"/>
      <c r="H18" s="772"/>
      <c r="I18" s="1108" t="str">
        <f>IF(APNATION="","",VLOOKUP(APNATION,STUDENTINFO,30,0))</f>
        <v>Departure Date (Y/M/D)</v>
      </c>
      <c r="J18" s="1109"/>
      <c r="K18" s="1109"/>
      <c r="L18" s="1109"/>
      <c r="M18" s="1109"/>
      <c r="N18" s="1109"/>
      <c r="O18" s="1110"/>
      <c r="P18" s="1111"/>
      <c r="Q18" s="1111"/>
      <c r="R18" s="1111"/>
      <c r="S18" s="1111"/>
      <c r="T18" s="1111"/>
      <c r="U18" s="1112"/>
      <c r="V18" s="1113" t="str">
        <f>IF(APNATION="","",VLOOKUP(APNATION,STUDENTINFO,32,0))</f>
        <v>Purpose of Entry</v>
      </c>
      <c r="W18" s="1114"/>
      <c r="X18" s="1114"/>
      <c r="Y18" s="1114"/>
      <c r="Z18" s="1114"/>
      <c r="AA18" s="1115"/>
      <c r="AB18" s="1116"/>
      <c r="AC18" s="1117"/>
      <c r="AD18" s="1117"/>
      <c r="AE18" s="1117"/>
      <c r="AF18" s="1117"/>
      <c r="AG18" s="1117"/>
      <c r="AH18" s="1117"/>
      <c r="AI18" s="1117"/>
      <c r="AJ18" s="1117"/>
      <c r="AK18" s="1117"/>
      <c r="AL18" s="1117"/>
      <c r="AM18" s="1117"/>
      <c r="AN18" s="1117"/>
      <c r="AO18" s="1117"/>
      <c r="AP18" s="1117"/>
      <c r="AQ18" s="1118"/>
      <c r="AT18" s="619"/>
      <c r="AU18" s="628"/>
      <c r="AV18" s="629"/>
      <c r="AY18" s="647"/>
      <c r="AZ18" s="785"/>
      <c r="BA18" s="657" t="s">
        <v>16</v>
      </c>
      <c r="BB18" s="655" t="str">
        <f>IF(APNATION="","",VLOOKUP(APNATION,TESTSTR,2,0))</f>
        <v>TESTSEN</v>
      </c>
    </row>
    <row r="19" spans="1:59" ht="15" customHeight="1">
      <c r="A19" s="750"/>
      <c r="B19" s="751"/>
      <c r="C19" s="751"/>
      <c r="D19" s="751"/>
      <c r="E19" s="751"/>
      <c r="F19" s="751"/>
      <c r="G19" s="752"/>
      <c r="H19" s="771">
        <v>2</v>
      </c>
      <c r="I19" s="1097" t="str">
        <f>I17</f>
        <v>Arrival Date (Y/M/D)</v>
      </c>
      <c r="J19" s="1098"/>
      <c r="K19" s="1098"/>
      <c r="L19" s="1098"/>
      <c r="M19" s="1098"/>
      <c r="N19" s="1098"/>
      <c r="O19" s="1099"/>
      <c r="P19" s="1100"/>
      <c r="Q19" s="1100"/>
      <c r="R19" s="1100"/>
      <c r="S19" s="1100"/>
      <c r="T19" s="1100"/>
      <c r="U19" s="1101"/>
      <c r="V19" s="1102" t="str">
        <f>V17</f>
        <v>Satus of Residence</v>
      </c>
      <c r="W19" s="1103"/>
      <c r="X19" s="1103"/>
      <c r="Y19" s="1103"/>
      <c r="Z19" s="1103"/>
      <c r="AA19" s="1104"/>
      <c r="AB19" s="1105"/>
      <c r="AC19" s="1106"/>
      <c r="AD19" s="1106"/>
      <c r="AE19" s="1106"/>
      <c r="AF19" s="1106"/>
      <c r="AG19" s="1106"/>
      <c r="AH19" s="1106"/>
      <c r="AI19" s="1106"/>
      <c r="AJ19" s="1106"/>
      <c r="AK19" s="1106"/>
      <c r="AL19" s="1106"/>
      <c r="AM19" s="1106"/>
      <c r="AN19" s="1106"/>
      <c r="AO19" s="1106"/>
      <c r="AP19" s="1106"/>
      <c r="AQ19" s="1107"/>
      <c r="AR19" s="630"/>
      <c r="AS19" s="630"/>
      <c r="AT19" s="619"/>
      <c r="AU19" s="631"/>
      <c r="AV19" s="629"/>
      <c r="AY19" s="647"/>
      <c r="AZ19" s="786"/>
      <c r="BA19" s="657" t="s">
        <v>17</v>
      </c>
      <c r="BB19" s="655" t="str">
        <f>IF(APNATION="","",VLOOKUP(APNATION,REASONTR,2,0))</f>
        <v>REASONEN</v>
      </c>
    </row>
    <row r="20" spans="1:59" ht="15" customHeight="1">
      <c r="A20" s="750"/>
      <c r="B20" s="751"/>
      <c r="C20" s="751"/>
      <c r="D20" s="751"/>
      <c r="E20" s="751"/>
      <c r="F20" s="751"/>
      <c r="G20" s="752"/>
      <c r="H20" s="772"/>
      <c r="I20" s="1108" t="str">
        <f>I18</f>
        <v>Departure Date (Y/M/D)</v>
      </c>
      <c r="J20" s="1109"/>
      <c r="K20" s="1109"/>
      <c r="L20" s="1109"/>
      <c r="M20" s="1109"/>
      <c r="N20" s="1109"/>
      <c r="O20" s="1110"/>
      <c r="P20" s="1111"/>
      <c r="Q20" s="1111"/>
      <c r="R20" s="1111"/>
      <c r="S20" s="1111"/>
      <c r="T20" s="1111"/>
      <c r="U20" s="1112"/>
      <c r="V20" s="1113" t="str">
        <f>V18</f>
        <v>Purpose of Entry</v>
      </c>
      <c r="W20" s="1114"/>
      <c r="X20" s="1114"/>
      <c r="Y20" s="1114"/>
      <c r="Z20" s="1114"/>
      <c r="AA20" s="1115"/>
      <c r="AB20" s="1116"/>
      <c r="AC20" s="1117"/>
      <c r="AD20" s="1117"/>
      <c r="AE20" s="1117"/>
      <c r="AF20" s="1117"/>
      <c r="AG20" s="1117"/>
      <c r="AH20" s="1117"/>
      <c r="AI20" s="1117"/>
      <c r="AJ20" s="1117"/>
      <c r="AK20" s="1117"/>
      <c r="AL20" s="1117"/>
      <c r="AM20" s="1117"/>
      <c r="AN20" s="1117"/>
      <c r="AO20" s="1117"/>
      <c r="AP20" s="1117"/>
      <c r="AQ20" s="1118"/>
      <c r="AR20" s="630"/>
      <c r="AS20" s="630"/>
      <c r="AT20" s="632"/>
      <c r="AU20" s="631"/>
      <c r="AV20" s="629"/>
      <c r="AY20" s="647"/>
    </row>
    <row r="21" spans="1:59" ht="15" customHeight="1">
      <c r="A21" s="750"/>
      <c r="B21" s="751"/>
      <c r="C21" s="751"/>
      <c r="D21" s="751"/>
      <c r="E21" s="751"/>
      <c r="F21" s="751"/>
      <c r="G21" s="752"/>
      <c r="H21" s="771">
        <v>3</v>
      </c>
      <c r="I21" s="1097" t="str">
        <f>I17</f>
        <v>Arrival Date (Y/M/D)</v>
      </c>
      <c r="J21" s="1098"/>
      <c r="K21" s="1098"/>
      <c r="L21" s="1098"/>
      <c r="M21" s="1098"/>
      <c r="N21" s="1098"/>
      <c r="O21" s="1099"/>
      <c r="P21" s="1100"/>
      <c r="Q21" s="1100"/>
      <c r="R21" s="1100"/>
      <c r="S21" s="1100"/>
      <c r="T21" s="1100"/>
      <c r="U21" s="1101"/>
      <c r="V21" s="1102" t="str">
        <f>V17</f>
        <v>Satus of Residence</v>
      </c>
      <c r="W21" s="1103"/>
      <c r="X21" s="1103"/>
      <c r="Y21" s="1103"/>
      <c r="Z21" s="1103"/>
      <c r="AA21" s="1104"/>
      <c r="AB21" s="1105"/>
      <c r="AC21" s="1106"/>
      <c r="AD21" s="1106"/>
      <c r="AE21" s="1106"/>
      <c r="AF21" s="1106"/>
      <c r="AG21" s="1106"/>
      <c r="AH21" s="1106"/>
      <c r="AI21" s="1106"/>
      <c r="AJ21" s="1106"/>
      <c r="AK21" s="1106"/>
      <c r="AL21" s="1106"/>
      <c r="AM21" s="1106"/>
      <c r="AN21" s="1106"/>
      <c r="AO21" s="1106"/>
      <c r="AP21" s="1106"/>
      <c r="AQ21" s="1107"/>
      <c r="AR21" s="596"/>
      <c r="AS21" s="596"/>
      <c r="AT21" s="632"/>
      <c r="AU21" s="631"/>
      <c r="AV21" s="629"/>
      <c r="AY21" s="647"/>
      <c r="AZ21" s="646"/>
      <c r="BA21" s="646"/>
      <c r="BB21" s="646"/>
    </row>
    <row r="22" spans="1:59" ht="15" customHeight="1">
      <c r="A22" s="1094"/>
      <c r="B22" s="1095"/>
      <c r="C22" s="1095"/>
      <c r="D22" s="1095"/>
      <c r="E22" s="1095"/>
      <c r="F22" s="1095"/>
      <c r="G22" s="1096"/>
      <c r="H22" s="773"/>
      <c r="I22" s="1081" t="str">
        <f>I18</f>
        <v>Departure Date (Y/M/D)</v>
      </c>
      <c r="J22" s="1081"/>
      <c r="K22" s="1081"/>
      <c r="L22" s="1081"/>
      <c r="M22" s="1081"/>
      <c r="N22" s="1081"/>
      <c r="O22" s="1081"/>
      <c r="P22" s="1082"/>
      <c r="Q22" s="1083"/>
      <c r="R22" s="1083"/>
      <c r="S22" s="1083"/>
      <c r="T22" s="1083"/>
      <c r="U22" s="1084"/>
      <c r="V22" s="1085" t="str">
        <f>V18</f>
        <v>Purpose of Entry</v>
      </c>
      <c r="W22" s="1086"/>
      <c r="X22" s="1086"/>
      <c r="Y22" s="1086"/>
      <c r="Z22" s="1086"/>
      <c r="AA22" s="1087"/>
      <c r="AB22" s="1088"/>
      <c r="AC22" s="1089"/>
      <c r="AD22" s="1089"/>
      <c r="AE22" s="1089"/>
      <c r="AF22" s="1089"/>
      <c r="AG22" s="1089"/>
      <c r="AH22" s="1089"/>
      <c r="AI22" s="1089"/>
      <c r="AJ22" s="1089"/>
      <c r="AK22" s="1089"/>
      <c r="AL22" s="1089"/>
      <c r="AM22" s="1089"/>
      <c r="AN22" s="1089"/>
      <c r="AO22" s="1089"/>
      <c r="AP22" s="1089"/>
      <c r="AQ22" s="1090"/>
      <c r="AR22" s="596"/>
      <c r="AS22" s="596"/>
      <c r="AT22" s="632"/>
      <c r="AU22" s="631"/>
      <c r="AV22" s="629"/>
      <c r="AY22" s="647"/>
      <c r="AZ22" s="646"/>
      <c r="BA22" s="646"/>
      <c r="BB22" s="646"/>
    </row>
    <row r="23" spans="1:59" ht="22.5" customHeight="1">
      <c r="A23" s="1036" t="str">
        <f>IF(APNATION="","",VLOOKUP(APNATION,SCHOOLINFO,2,0))</f>
        <v>Educational History</v>
      </c>
      <c r="B23" s="1036"/>
      <c r="C23" s="1036"/>
      <c r="D23" s="1036"/>
      <c r="E23" s="1036"/>
      <c r="F23" s="1036"/>
      <c r="G23" s="1036"/>
      <c r="H23" s="1036"/>
      <c r="I23" s="1036"/>
      <c r="J23" s="1036"/>
      <c r="K23" s="1036"/>
      <c r="L23" s="1036"/>
      <c r="M23" s="1036"/>
      <c r="N23" s="1036"/>
      <c r="O23" s="1036"/>
      <c r="P23" s="1036"/>
      <c r="Q23" s="1036"/>
      <c r="R23" s="1036"/>
      <c r="S23" s="1036"/>
      <c r="T23" s="1036"/>
      <c r="U23" s="1036"/>
      <c r="V23" s="1036"/>
      <c r="W23" s="1036"/>
      <c r="X23" s="1036"/>
      <c r="Y23" s="1036"/>
      <c r="Z23" s="1036"/>
      <c r="AA23" s="1036"/>
      <c r="AB23" s="1036"/>
      <c r="AC23" s="1036"/>
      <c r="AD23" s="1036"/>
      <c r="AE23" s="1036"/>
      <c r="AF23" s="1036"/>
      <c r="AG23" s="1036"/>
      <c r="AH23" s="1036"/>
      <c r="AI23" s="1036"/>
      <c r="AJ23" s="1036"/>
      <c r="AK23" s="1036"/>
      <c r="AL23" s="1036"/>
      <c r="AM23" s="1036"/>
      <c r="AN23" s="1036"/>
      <c r="AO23" s="1036"/>
      <c r="AP23" s="1036"/>
      <c r="AQ23" s="1036"/>
      <c r="AR23" s="618"/>
      <c r="AS23" s="618"/>
      <c r="AT23" s="632"/>
      <c r="AU23" s="631"/>
      <c r="AV23" s="631"/>
      <c r="AY23" s="647"/>
      <c r="AZ23" s="646"/>
      <c r="BA23" s="646"/>
      <c r="BB23" s="646"/>
    </row>
    <row r="24" spans="1:59" ht="18.75" customHeight="1">
      <c r="A24" s="1037" t="str">
        <f>IF(APNATION="","",VLOOKUP(APNATION,SCHOOLINFO,3,0))</f>
        <v>(From elementary/primary school to university)</v>
      </c>
      <c r="B24" s="1037"/>
      <c r="C24" s="1037"/>
      <c r="D24" s="1037"/>
      <c r="E24" s="1037"/>
      <c r="F24" s="1037"/>
      <c r="G24" s="1037"/>
      <c r="H24" s="1037"/>
      <c r="I24" s="1037"/>
      <c r="J24" s="1037"/>
      <c r="K24" s="1037"/>
      <c r="L24" s="1037"/>
      <c r="M24" s="1037"/>
      <c r="N24" s="1037"/>
      <c r="O24" s="1037"/>
      <c r="P24" s="1037"/>
      <c r="Q24" s="1037"/>
      <c r="R24" s="1037"/>
      <c r="S24" s="1037"/>
      <c r="T24" s="1037"/>
      <c r="U24" s="1037"/>
      <c r="V24" s="1037"/>
      <c r="W24" s="1037"/>
      <c r="X24" s="1037"/>
      <c r="Y24" s="1037"/>
      <c r="Z24" s="1037"/>
      <c r="AA24" s="1037"/>
      <c r="AB24" s="1037"/>
      <c r="AC24" s="1037"/>
      <c r="AD24" s="1037"/>
      <c r="AE24" s="1037"/>
      <c r="AF24" s="1037"/>
      <c r="AG24" s="1037"/>
      <c r="AH24" s="1037"/>
      <c r="AI24" s="1037"/>
      <c r="AJ24" s="1037"/>
      <c r="AK24" s="1037"/>
      <c r="AL24" s="1037"/>
      <c r="AM24" s="1037"/>
      <c r="AN24" s="1037"/>
      <c r="AO24" s="1037"/>
      <c r="AP24" s="1037"/>
      <c r="AQ24" s="1037"/>
      <c r="AR24" s="618"/>
      <c r="AS24" s="618"/>
      <c r="AT24" s="632"/>
      <c r="AU24" s="631"/>
      <c r="AV24" s="631"/>
      <c r="AY24" s="647"/>
      <c r="AZ24" s="646"/>
      <c r="BA24" s="646"/>
      <c r="BB24" s="646"/>
    </row>
    <row r="25" spans="1:59" ht="18.75" customHeight="1">
      <c r="A25" s="602"/>
      <c r="B25" s="1041" t="str">
        <f>IF(APNATION="","",VLOOKUP(APNATION,SCHOOLINFO,4,0))</f>
        <v>School Name</v>
      </c>
      <c r="C25" s="1041"/>
      <c r="D25" s="1041"/>
      <c r="E25" s="1041"/>
      <c r="F25" s="1041"/>
      <c r="G25" s="1041"/>
      <c r="H25" s="1041"/>
      <c r="I25" s="1041"/>
      <c r="J25" s="1041"/>
      <c r="K25" s="1038"/>
      <c r="L25" s="1041" t="str">
        <f>IF(APNATION="","",VLOOKUP(APNATION,SCHOOLINFO,5,0))</f>
        <v>School Type</v>
      </c>
      <c r="M25" s="1041"/>
      <c r="N25" s="1041"/>
      <c r="O25" s="1041"/>
      <c r="P25" s="1041"/>
      <c r="Q25" s="1046" t="str">
        <f>IF(APNATION="","",VLOOKUP(APNATION,SCHOOLINFO,6,0))</f>
        <v>School Address</v>
      </c>
      <c r="R25" s="1044"/>
      <c r="S25" s="1044"/>
      <c r="T25" s="1044"/>
      <c r="U25" s="1044"/>
      <c r="V25" s="1044"/>
      <c r="W25" s="1044"/>
      <c r="X25" s="1044"/>
      <c r="Y25" s="1044"/>
      <c r="Z25" s="1044"/>
      <c r="AA25" s="1044"/>
      <c r="AB25" s="1044"/>
      <c r="AC25" s="1044"/>
      <c r="AD25" s="1040" t="str">
        <f>IF(APNATION="","",VLOOKUP(APNATION,SCHOOLINFO,7,0))</f>
        <v>Entrance Date (Y/M/D)</v>
      </c>
      <c r="AE25" s="1041"/>
      <c r="AF25" s="1041"/>
      <c r="AG25" s="1041"/>
      <c r="AH25" s="1041"/>
      <c r="AI25" s="1041"/>
      <c r="AJ25" s="1041"/>
      <c r="AK25" s="1040" t="str">
        <f>IF(APNATION="","",VLOOKUP(APNATION,SCHOOLINFO,8,0))</f>
        <v>Graduation Date (Y/M/D)</v>
      </c>
      <c r="AL25" s="1041"/>
      <c r="AM25" s="1041"/>
      <c r="AN25" s="1041"/>
      <c r="AO25" s="1041"/>
      <c r="AP25" s="1041"/>
      <c r="AQ25" s="1042"/>
      <c r="AR25" s="618"/>
      <c r="AS25" s="618"/>
      <c r="AU25" s="633"/>
      <c r="AV25" s="631"/>
      <c r="AY25" s="647"/>
      <c r="AZ25" s="646"/>
      <c r="BA25" s="646"/>
      <c r="BB25" s="646"/>
    </row>
    <row r="26" spans="1:59" ht="15" customHeight="1">
      <c r="A26" s="603">
        <v>1</v>
      </c>
      <c r="B26" s="1068"/>
      <c r="C26" s="1069"/>
      <c r="D26" s="1069"/>
      <c r="E26" s="1069"/>
      <c r="F26" s="1069"/>
      <c r="G26" s="1069"/>
      <c r="H26" s="1069"/>
      <c r="I26" s="1069"/>
      <c r="J26" s="1069"/>
      <c r="K26" s="1070"/>
      <c r="L26" s="1079" t="str">
        <f>VLOOKUP(APNATION,FIRSTSCHOOL,2,0)</f>
        <v>Elementary / Primary School</v>
      </c>
      <c r="M26" s="1080"/>
      <c r="N26" s="1080"/>
      <c r="O26" s="1080"/>
      <c r="P26" s="1080"/>
      <c r="Q26" s="1078"/>
      <c r="R26" s="1078"/>
      <c r="S26" s="1078"/>
      <c r="T26" s="1078"/>
      <c r="U26" s="1078"/>
      <c r="V26" s="1078"/>
      <c r="W26" s="1078"/>
      <c r="X26" s="1078"/>
      <c r="Y26" s="1078"/>
      <c r="Z26" s="1078"/>
      <c r="AA26" s="1078"/>
      <c r="AB26" s="1078"/>
      <c r="AC26" s="1078"/>
      <c r="AD26" s="1014"/>
      <c r="AE26" s="1015"/>
      <c r="AF26" s="1015"/>
      <c r="AG26" s="1015"/>
      <c r="AH26" s="1015"/>
      <c r="AI26" s="1015"/>
      <c r="AJ26" s="1016"/>
      <c r="AK26" s="1014"/>
      <c r="AL26" s="1015"/>
      <c r="AM26" s="1015"/>
      <c r="AN26" s="1015"/>
      <c r="AO26" s="1015"/>
      <c r="AP26" s="1015"/>
      <c r="AQ26" s="1018"/>
      <c r="AR26" s="634"/>
      <c r="AS26" s="634"/>
      <c r="AT26" s="635">
        <f t="shared" ref="AT26:AT31" si="0">DATEDIF(AD26,AK26,"M")</f>
        <v>0</v>
      </c>
      <c r="AU26" s="633"/>
      <c r="AV26" s="636"/>
      <c r="AW26" s="636"/>
      <c r="AX26" s="642"/>
      <c r="AY26" s="647"/>
      <c r="BD26" s="7" t="str">
        <f>IF(AD26 = "", "", DATEDIF($F$7, AD26, "Y") &amp; " 際" &amp; DATEDIF($F$7, AD26, "YM") &amp; " 月")</f>
        <v/>
      </c>
    </row>
    <row r="27" spans="1:59" ht="15" customHeight="1">
      <c r="A27" s="604">
        <v>2</v>
      </c>
      <c r="B27" s="1020"/>
      <c r="C27" s="1021"/>
      <c r="D27" s="1021"/>
      <c r="E27" s="1021"/>
      <c r="F27" s="1021"/>
      <c r="G27" s="1021"/>
      <c r="H27" s="1021"/>
      <c r="I27" s="1021"/>
      <c r="J27" s="1021"/>
      <c r="K27" s="1022"/>
      <c r="L27" s="1071" t="s">
        <v>1141</v>
      </c>
      <c r="M27" s="1071"/>
      <c r="N27" s="1071"/>
      <c r="O27" s="1071"/>
      <c r="P27" s="1071"/>
      <c r="Q27" s="1078"/>
      <c r="R27" s="1078"/>
      <c r="S27" s="1078"/>
      <c r="T27" s="1078"/>
      <c r="U27" s="1078"/>
      <c r="V27" s="1078"/>
      <c r="W27" s="1078"/>
      <c r="X27" s="1078"/>
      <c r="Y27" s="1078"/>
      <c r="Z27" s="1078"/>
      <c r="AA27" s="1078"/>
      <c r="AB27" s="1078"/>
      <c r="AC27" s="1078"/>
      <c r="AD27" s="1023"/>
      <c r="AE27" s="1023"/>
      <c r="AF27" s="1023"/>
      <c r="AG27" s="1023"/>
      <c r="AH27" s="1023"/>
      <c r="AI27" s="1023"/>
      <c r="AJ27" s="1023"/>
      <c r="AK27" s="1023"/>
      <c r="AL27" s="1023"/>
      <c r="AM27" s="1023"/>
      <c r="AN27" s="1023"/>
      <c r="AO27" s="1023"/>
      <c r="AP27" s="1023"/>
      <c r="AQ27" s="1024"/>
      <c r="AR27" s="596"/>
      <c r="AS27" s="596"/>
      <c r="AT27" s="635">
        <f t="shared" si="0"/>
        <v>0</v>
      </c>
      <c r="AU27" s="633"/>
      <c r="AV27" s="636"/>
      <c r="AW27" s="636"/>
      <c r="AX27" s="642"/>
      <c r="AY27" s="647"/>
      <c r="BD27" s="7" t="str">
        <f t="shared" ref="BD27:BD31" si="1">IF(AD27 = "", "", DATEDIF($F$7, AD27, "Y") &amp; " 際" &amp; DATEDIF($F$7, AD27, "YM") &amp; " 月")</f>
        <v/>
      </c>
    </row>
    <row r="28" spans="1:59" ht="15" customHeight="1">
      <c r="A28" s="604">
        <v>3</v>
      </c>
      <c r="B28" s="1020"/>
      <c r="C28" s="1021"/>
      <c r="D28" s="1021"/>
      <c r="E28" s="1021"/>
      <c r="F28" s="1021"/>
      <c r="G28" s="1021"/>
      <c r="H28" s="1021"/>
      <c r="I28" s="1021"/>
      <c r="J28" s="1021"/>
      <c r="K28" s="1022"/>
      <c r="L28" s="1071" t="s">
        <v>1146</v>
      </c>
      <c r="M28" s="1071"/>
      <c r="N28" s="1071"/>
      <c r="O28" s="1071"/>
      <c r="P28" s="1071"/>
      <c r="Q28" s="1078"/>
      <c r="R28" s="1078"/>
      <c r="S28" s="1078"/>
      <c r="T28" s="1078"/>
      <c r="U28" s="1078"/>
      <c r="V28" s="1078"/>
      <c r="W28" s="1078"/>
      <c r="X28" s="1078"/>
      <c r="Y28" s="1078"/>
      <c r="Z28" s="1078"/>
      <c r="AA28" s="1078"/>
      <c r="AB28" s="1078"/>
      <c r="AC28" s="1078"/>
      <c r="AD28" s="1023"/>
      <c r="AE28" s="1023"/>
      <c r="AF28" s="1023"/>
      <c r="AG28" s="1023"/>
      <c r="AH28" s="1023"/>
      <c r="AI28" s="1023"/>
      <c r="AJ28" s="1023"/>
      <c r="AK28" s="1023"/>
      <c r="AL28" s="1023"/>
      <c r="AM28" s="1023"/>
      <c r="AN28" s="1023"/>
      <c r="AO28" s="1023"/>
      <c r="AP28" s="1023"/>
      <c r="AQ28" s="1024"/>
      <c r="AR28" s="619"/>
      <c r="AS28" s="619"/>
      <c r="AT28" s="635">
        <f t="shared" si="0"/>
        <v>0</v>
      </c>
      <c r="AU28" s="633"/>
      <c r="AV28" s="636"/>
      <c r="AW28" s="636"/>
      <c r="AX28" s="642"/>
      <c r="AY28" s="647"/>
      <c r="BD28" s="7" t="str">
        <f t="shared" si="1"/>
        <v/>
      </c>
    </row>
    <row r="29" spans="1:59" ht="15" customHeight="1">
      <c r="A29" s="604">
        <v>4</v>
      </c>
      <c r="B29" s="1020"/>
      <c r="C29" s="1021"/>
      <c r="D29" s="1021"/>
      <c r="E29" s="1021"/>
      <c r="F29" s="1021"/>
      <c r="G29" s="1021"/>
      <c r="H29" s="1021"/>
      <c r="I29" s="1021"/>
      <c r="J29" s="1021"/>
      <c r="K29" s="1022"/>
      <c r="L29" s="1071"/>
      <c r="M29" s="1071"/>
      <c r="N29" s="1071"/>
      <c r="O29" s="1071"/>
      <c r="P29" s="1071"/>
      <c r="Q29" s="1071"/>
      <c r="R29" s="1071"/>
      <c r="S29" s="1071"/>
      <c r="T29" s="1071"/>
      <c r="U29" s="1071"/>
      <c r="V29" s="1071"/>
      <c r="W29" s="1071"/>
      <c r="X29" s="1071"/>
      <c r="Y29" s="1071"/>
      <c r="Z29" s="1071"/>
      <c r="AA29" s="1071"/>
      <c r="AB29" s="1071"/>
      <c r="AC29" s="1071"/>
      <c r="AD29" s="1023"/>
      <c r="AE29" s="1023"/>
      <c r="AF29" s="1023"/>
      <c r="AG29" s="1023"/>
      <c r="AH29" s="1023"/>
      <c r="AI29" s="1023"/>
      <c r="AJ29" s="1023"/>
      <c r="AK29" s="1023"/>
      <c r="AL29" s="1023"/>
      <c r="AM29" s="1023"/>
      <c r="AN29" s="1023"/>
      <c r="AO29" s="1023"/>
      <c r="AP29" s="1023"/>
      <c r="AQ29" s="1024"/>
      <c r="AR29" s="619"/>
      <c r="AS29" s="619"/>
      <c r="AT29" s="635">
        <f t="shared" si="0"/>
        <v>0</v>
      </c>
      <c r="AU29" s="633"/>
      <c r="AV29" s="636"/>
      <c r="AW29" s="636"/>
      <c r="AX29" s="642"/>
      <c r="AY29" s="647"/>
      <c r="BD29" s="7" t="str">
        <f t="shared" si="1"/>
        <v/>
      </c>
    </row>
    <row r="30" spans="1:59" ht="15" customHeight="1">
      <c r="A30" s="604">
        <v>5</v>
      </c>
      <c r="B30" s="1020"/>
      <c r="C30" s="1021"/>
      <c r="D30" s="1021"/>
      <c r="E30" s="1021"/>
      <c r="F30" s="1021"/>
      <c r="G30" s="1021"/>
      <c r="H30" s="1021"/>
      <c r="I30" s="1021"/>
      <c r="J30" s="1021"/>
      <c r="K30" s="1022"/>
      <c r="L30" s="1071"/>
      <c r="M30" s="1071"/>
      <c r="N30" s="1071"/>
      <c r="O30" s="1071"/>
      <c r="P30" s="1071"/>
      <c r="Q30" s="1071"/>
      <c r="R30" s="1071"/>
      <c r="S30" s="1071"/>
      <c r="T30" s="1071"/>
      <c r="U30" s="1071"/>
      <c r="V30" s="1071"/>
      <c r="W30" s="1071"/>
      <c r="X30" s="1071"/>
      <c r="Y30" s="1071"/>
      <c r="Z30" s="1071"/>
      <c r="AA30" s="1071"/>
      <c r="AB30" s="1071"/>
      <c r="AC30" s="1071"/>
      <c r="AD30" s="1023"/>
      <c r="AE30" s="1023"/>
      <c r="AF30" s="1023"/>
      <c r="AG30" s="1023"/>
      <c r="AH30" s="1023"/>
      <c r="AI30" s="1023"/>
      <c r="AJ30" s="1023"/>
      <c r="AK30" s="1023"/>
      <c r="AL30" s="1023"/>
      <c r="AM30" s="1023"/>
      <c r="AN30" s="1023"/>
      <c r="AO30" s="1023"/>
      <c r="AP30" s="1023"/>
      <c r="AQ30" s="1024"/>
      <c r="AR30" s="619"/>
      <c r="AS30" s="619"/>
      <c r="AT30" s="635">
        <f t="shared" si="0"/>
        <v>0</v>
      </c>
      <c r="AU30" s="633"/>
      <c r="AV30" s="636"/>
      <c r="AW30" s="636"/>
      <c r="AX30" s="642"/>
      <c r="AY30" s="647"/>
      <c r="BD30" s="7" t="str">
        <f t="shared" si="1"/>
        <v/>
      </c>
    </row>
    <row r="31" spans="1:59" ht="15" customHeight="1">
      <c r="A31" s="605">
        <v>6</v>
      </c>
      <c r="B31" s="1072"/>
      <c r="C31" s="1073"/>
      <c r="D31" s="1073"/>
      <c r="E31" s="1073"/>
      <c r="F31" s="1073"/>
      <c r="G31" s="1073"/>
      <c r="H31" s="1073"/>
      <c r="I31" s="1073"/>
      <c r="J31" s="1073"/>
      <c r="K31" s="1074"/>
      <c r="L31" s="1075"/>
      <c r="M31" s="1075"/>
      <c r="N31" s="1075"/>
      <c r="O31" s="1075"/>
      <c r="P31" s="1075"/>
      <c r="Q31" s="1075"/>
      <c r="R31" s="1075"/>
      <c r="S31" s="1075"/>
      <c r="T31" s="1075"/>
      <c r="U31" s="1075"/>
      <c r="V31" s="1075"/>
      <c r="W31" s="1075"/>
      <c r="X31" s="1075"/>
      <c r="Y31" s="1075"/>
      <c r="Z31" s="1075"/>
      <c r="AA31" s="1075"/>
      <c r="AB31" s="1075"/>
      <c r="AC31" s="1075"/>
      <c r="AD31" s="1076"/>
      <c r="AE31" s="1076"/>
      <c r="AF31" s="1076"/>
      <c r="AG31" s="1076"/>
      <c r="AH31" s="1076"/>
      <c r="AI31" s="1076"/>
      <c r="AJ31" s="1076"/>
      <c r="AK31" s="1076"/>
      <c r="AL31" s="1076"/>
      <c r="AM31" s="1076"/>
      <c r="AN31" s="1076"/>
      <c r="AO31" s="1076"/>
      <c r="AP31" s="1076"/>
      <c r="AQ31" s="1077"/>
      <c r="AR31" s="619"/>
      <c r="AS31" s="619"/>
      <c r="AT31" s="635">
        <f t="shared" si="0"/>
        <v>0</v>
      </c>
      <c r="AU31" s="637"/>
      <c r="AV31" s="636"/>
      <c r="AW31" s="636"/>
      <c r="AX31" s="642"/>
      <c r="AY31" s="647"/>
      <c r="BD31" s="7" t="str">
        <f t="shared" si="1"/>
        <v/>
      </c>
    </row>
    <row r="32" spans="1:59" ht="15" customHeight="1">
      <c r="A32" s="1063" t="str">
        <f>IF(APNATION="","",VLOOKUP(APNATION,SCHOOLINFO,9,0))</f>
        <v>Total years of education</v>
      </c>
      <c r="B32" s="1064"/>
      <c r="C32" s="1064"/>
      <c r="D32" s="1064"/>
      <c r="E32" s="1064"/>
      <c r="F32" s="1064"/>
      <c r="G32" s="1064"/>
      <c r="H32" s="1064"/>
      <c r="I32" s="1064"/>
      <c r="J32" s="1064"/>
      <c r="K32" s="1064"/>
      <c r="L32" s="1064"/>
      <c r="M32" s="1064"/>
      <c r="N32" s="1064"/>
      <c r="O32" s="1064"/>
      <c r="P32" s="1064"/>
      <c r="Q32" s="1064"/>
      <c r="R32" s="1064"/>
      <c r="S32" s="1064"/>
      <c r="T32" s="1064"/>
      <c r="U32" s="1064"/>
      <c r="V32" s="1064"/>
      <c r="W32" s="1064"/>
      <c r="X32" s="1064"/>
      <c r="Y32" s="1064"/>
      <c r="Z32" s="1064"/>
      <c r="AA32" s="1064"/>
      <c r="AB32" s="1064"/>
      <c r="AC32" s="1064"/>
      <c r="AD32" s="1064"/>
      <c r="AE32" s="1064"/>
      <c r="AF32" s="1064"/>
      <c r="AG32" s="1064"/>
      <c r="AH32" s="1064"/>
      <c r="AI32" s="1064"/>
      <c r="AJ32" s="1064"/>
      <c r="AK32" s="1064"/>
      <c r="AL32" s="1064"/>
      <c r="AM32" s="1064"/>
      <c r="AN32" s="1064"/>
      <c r="AO32" s="1064"/>
      <c r="AP32" s="1065">
        <f>SUM(AT32+AU31)</f>
        <v>0</v>
      </c>
      <c r="AQ32" s="1066"/>
      <c r="AR32" s="619"/>
      <c r="AS32" s="619"/>
      <c r="AT32" s="638">
        <f>SUM(AT26:AT31)/12</f>
        <v>0</v>
      </c>
      <c r="AU32" s="639"/>
      <c r="AV32" s="631"/>
      <c r="AW32" s="596"/>
      <c r="AX32" s="642"/>
      <c r="AY32" s="647"/>
      <c r="BE32" s="596"/>
      <c r="BF32" s="596"/>
      <c r="BG32" s="596"/>
    </row>
    <row r="33" spans="1:59" s="596" customFormat="1" ht="22.5" customHeight="1">
      <c r="A33" s="1067" t="str">
        <f>IF(APNATION="","",VLOOKUP(APNATION,SCHOOLINFO,11,0))</f>
        <v>Japanese Study History</v>
      </c>
      <c r="B33" s="1067"/>
      <c r="C33" s="1067"/>
      <c r="D33" s="1067"/>
      <c r="E33" s="1067"/>
      <c r="F33" s="1067"/>
      <c r="G33" s="1067"/>
      <c r="H33" s="1067"/>
      <c r="I33" s="1067"/>
      <c r="J33" s="1067"/>
      <c r="K33" s="1067"/>
      <c r="L33" s="1067"/>
      <c r="M33" s="1067"/>
      <c r="N33" s="1067"/>
      <c r="O33" s="1067"/>
      <c r="P33" s="1067"/>
      <c r="Q33" s="1067"/>
      <c r="R33" s="1067"/>
      <c r="S33" s="1067"/>
      <c r="T33" s="1067"/>
      <c r="U33" s="1067"/>
      <c r="V33" s="1067"/>
      <c r="W33" s="1067"/>
      <c r="X33" s="1067"/>
      <c r="Y33" s="1067"/>
      <c r="Z33" s="1067"/>
      <c r="AA33" s="1067"/>
      <c r="AB33" s="1067"/>
      <c r="AC33" s="1067"/>
      <c r="AD33" s="1067"/>
      <c r="AE33" s="1067"/>
      <c r="AF33" s="1067"/>
      <c r="AG33" s="1067"/>
      <c r="AH33" s="1067"/>
      <c r="AI33" s="1067"/>
      <c r="AJ33" s="1067"/>
      <c r="AK33" s="1067"/>
      <c r="AL33" s="1067"/>
      <c r="AM33" s="1067"/>
      <c r="AN33" s="1067"/>
      <c r="AO33" s="1067"/>
      <c r="AP33" s="1067"/>
      <c r="AQ33" s="1067"/>
      <c r="AT33" s="640"/>
      <c r="AU33" s="631"/>
      <c r="AV33" s="631"/>
      <c r="AW33" s="658"/>
      <c r="AX33" s="642"/>
      <c r="AY33" s="647"/>
      <c r="AZ33" s="646"/>
      <c r="BA33" s="646"/>
      <c r="BB33" s="646"/>
    </row>
    <row r="34" spans="1:59" s="596" customFormat="1" ht="18.75" customHeight="1">
      <c r="A34" s="606"/>
      <c r="B34" s="1041" t="str">
        <f>IF(APNATION="","",VLOOKUP(APNATION,SCHOOLINFO,4,0))</f>
        <v>School Name</v>
      </c>
      <c r="C34" s="1041"/>
      <c r="D34" s="1041"/>
      <c r="E34" s="1041"/>
      <c r="F34" s="1041"/>
      <c r="G34" s="1041"/>
      <c r="H34" s="1041"/>
      <c r="I34" s="1041"/>
      <c r="J34" s="1041"/>
      <c r="K34" s="1041"/>
      <c r="L34" s="1040" t="str">
        <f>IF(APNATION="","",VLOOKUP(APNATION,SCHOOLINFO,6,0))</f>
        <v>School Address</v>
      </c>
      <c r="M34" s="1041"/>
      <c r="N34" s="1041"/>
      <c r="O34" s="1041"/>
      <c r="P34" s="1041"/>
      <c r="Q34" s="1041"/>
      <c r="R34" s="1041"/>
      <c r="S34" s="1041"/>
      <c r="T34" s="1041"/>
      <c r="U34" s="1041"/>
      <c r="V34" s="1041"/>
      <c r="W34" s="1041"/>
      <c r="X34" s="1041"/>
      <c r="Y34" s="1041"/>
      <c r="Z34" s="1041"/>
      <c r="AA34" s="1041"/>
      <c r="AB34" s="1041"/>
      <c r="AC34" s="1041"/>
      <c r="AD34" s="1040" t="str">
        <f>IF(APNATION="","",VLOOKUP(APNATION,SCHOOLINFO,7,0))</f>
        <v>Entrance Date (Y/M/D)</v>
      </c>
      <c r="AE34" s="1041"/>
      <c r="AF34" s="1041"/>
      <c r="AG34" s="1041"/>
      <c r="AH34" s="1041"/>
      <c r="AI34" s="1041"/>
      <c r="AJ34" s="1041"/>
      <c r="AK34" s="1040" t="str">
        <f>IF(APNATION="","",VLOOKUP(APNATION,SCHOOLINFO,8,0))</f>
        <v>Graduation Date (Y/M/D)</v>
      </c>
      <c r="AL34" s="1041"/>
      <c r="AM34" s="1041"/>
      <c r="AN34" s="1041"/>
      <c r="AO34" s="1041"/>
      <c r="AP34" s="1041"/>
      <c r="AQ34" s="1042"/>
      <c r="AY34" s="647"/>
      <c r="AZ34" s="646"/>
      <c r="BA34" s="646"/>
      <c r="BB34" s="646"/>
    </row>
    <row r="35" spans="1:59" s="596" customFormat="1" ht="15" customHeight="1">
      <c r="A35" s="603">
        <v>1</v>
      </c>
      <c r="B35" s="1068"/>
      <c r="C35" s="1069"/>
      <c r="D35" s="1069"/>
      <c r="E35" s="1069"/>
      <c r="F35" s="1069"/>
      <c r="G35" s="1069"/>
      <c r="H35" s="1069"/>
      <c r="I35" s="1069"/>
      <c r="J35" s="1069"/>
      <c r="K35" s="1070"/>
      <c r="L35" s="1011"/>
      <c r="M35" s="1012"/>
      <c r="N35" s="1012"/>
      <c r="O35" s="1012"/>
      <c r="P35" s="1012"/>
      <c r="Q35" s="1012"/>
      <c r="R35" s="1012"/>
      <c r="S35" s="1012"/>
      <c r="T35" s="1012"/>
      <c r="U35" s="1012"/>
      <c r="V35" s="1012"/>
      <c r="W35" s="1012"/>
      <c r="X35" s="1012"/>
      <c r="Y35" s="1012"/>
      <c r="Z35" s="1012"/>
      <c r="AA35" s="1012"/>
      <c r="AB35" s="1012"/>
      <c r="AC35" s="1012"/>
      <c r="AD35" s="1014"/>
      <c r="AE35" s="1015"/>
      <c r="AF35" s="1015"/>
      <c r="AG35" s="1015"/>
      <c r="AH35" s="1015"/>
      <c r="AI35" s="1015"/>
      <c r="AJ35" s="1016"/>
      <c r="AK35" s="1014"/>
      <c r="AL35" s="1015"/>
      <c r="AM35" s="1015"/>
      <c r="AN35" s="1015"/>
      <c r="AO35" s="1015"/>
      <c r="AP35" s="1015"/>
      <c r="AQ35" s="1018"/>
      <c r="AY35" s="647"/>
      <c r="AZ35" s="646"/>
      <c r="BA35" s="646"/>
      <c r="BB35" s="646"/>
      <c r="BC35" s="1"/>
      <c r="BD35" s="1"/>
      <c r="BE35" s="1"/>
      <c r="BF35" s="1"/>
      <c r="BG35" s="1"/>
    </row>
    <row r="36" spans="1:59" ht="15" customHeight="1">
      <c r="A36" s="607">
        <v>2</v>
      </c>
      <c r="B36" s="1020"/>
      <c r="C36" s="1021"/>
      <c r="D36" s="1021"/>
      <c r="E36" s="1021"/>
      <c r="F36" s="1021"/>
      <c r="G36" s="1021"/>
      <c r="H36" s="1021"/>
      <c r="I36" s="1021"/>
      <c r="J36" s="1021"/>
      <c r="K36" s="1022"/>
      <c r="L36" s="1020"/>
      <c r="M36" s="1021"/>
      <c r="N36" s="1021"/>
      <c r="O36" s="1021"/>
      <c r="P36" s="1021"/>
      <c r="Q36" s="1021"/>
      <c r="R36" s="1021"/>
      <c r="S36" s="1021"/>
      <c r="T36" s="1021"/>
      <c r="U36" s="1021"/>
      <c r="V36" s="1021"/>
      <c r="W36" s="1021"/>
      <c r="X36" s="1021"/>
      <c r="Y36" s="1021"/>
      <c r="Z36" s="1021"/>
      <c r="AA36" s="1021"/>
      <c r="AB36" s="1021"/>
      <c r="AC36" s="1021"/>
      <c r="AD36" s="1023"/>
      <c r="AE36" s="1023"/>
      <c r="AF36" s="1023"/>
      <c r="AG36" s="1023"/>
      <c r="AH36" s="1023"/>
      <c r="AI36" s="1023"/>
      <c r="AJ36" s="1023"/>
      <c r="AK36" s="1023"/>
      <c r="AL36" s="1023"/>
      <c r="AM36" s="1023"/>
      <c r="AN36" s="1023"/>
      <c r="AO36" s="1023"/>
      <c r="AP36" s="1023"/>
      <c r="AQ36" s="1024"/>
      <c r="AR36" s="619"/>
      <c r="AS36" s="619"/>
      <c r="AY36" s="647"/>
      <c r="AZ36" s="646"/>
      <c r="BA36" s="646"/>
      <c r="BB36" s="646"/>
    </row>
    <row r="37" spans="1:59" ht="14.25" customHeight="1">
      <c r="A37" s="608">
        <v>3</v>
      </c>
      <c r="B37" s="1059"/>
      <c r="C37" s="1060"/>
      <c r="D37" s="1060"/>
      <c r="E37" s="1060"/>
      <c r="F37" s="1060"/>
      <c r="G37" s="1060"/>
      <c r="H37" s="1060"/>
      <c r="I37" s="1060"/>
      <c r="J37" s="1060"/>
      <c r="K37" s="1061"/>
      <c r="L37" s="1059"/>
      <c r="M37" s="1060"/>
      <c r="N37" s="1060"/>
      <c r="O37" s="1060"/>
      <c r="P37" s="1060"/>
      <c r="Q37" s="1060"/>
      <c r="R37" s="1060"/>
      <c r="S37" s="1060"/>
      <c r="T37" s="1060"/>
      <c r="U37" s="1060"/>
      <c r="V37" s="1060"/>
      <c r="W37" s="1060"/>
      <c r="X37" s="1060"/>
      <c r="Y37" s="1060"/>
      <c r="Z37" s="1060"/>
      <c r="AA37" s="1060"/>
      <c r="AB37" s="1060"/>
      <c r="AC37" s="1060"/>
      <c r="AD37" s="1001"/>
      <c r="AE37" s="1001"/>
      <c r="AF37" s="1001"/>
      <c r="AG37" s="1001"/>
      <c r="AH37" s="1001"/>
      <c r="AI37" s="1001"/>
      <c r="AJ37" s="1001"/>
      <c r="AK37" s="1001"/>
      <c r="AL37" s="1001"/>
      <c r="AM37" s="1001"/>
      <c r="AN37" s="1001"/>
      <c r="AO37" s="1001"/>
      <c r="AP37" s="1001"/>
      <c r="AQ37" s="1002"/>
      <c r="AR37" s="619"/>
      <c r="AS37" s="619"/>
      <c r="AY37" s="647"/>
      <c r="AZ37" s="646"/>
      <c r="BA37" s="646"/>
      <c r="BB37" s="646"/>
    </row>
    <row r="38" spans="1:59" ht="22.5" customHeight="1">
      <c r="A38" s="1062" t="str">
        <f>IF(APNATION="","",VLOOKUP(APNATION,SCHOOLINFO,12,0))</f>
        <v>Japanese Ability</v>
      </c>
      <c r="B38" s="1062"/>
      <c r="C38" s="1062"/>
      <c r="D38" s="1062"/>
      <c r="E38" s="1062"/>
      <c r="F38" s="1062"/>
      <c r="G38" s="1062"/>
      <c r="H38" s="1062"/>
      <c r="I38" s="1062"/>
      <c r="J38" s="1062"/>
      <c r="K38" s="1062"/>
      <c r="L38" s="1062"/>
      <c r="M38" s="1062"/>
      <c r="N38" s="1062"/>
      <c r="O38" s="1062"/>
      <c r="P38" s="1062"/>
      <c r="Q38" s="1062"/>
      <c r="R38" s="1062"/>
      <c r="S38" s="1062"/>
      <c r="T38" s="1062"/>
      <c r="U38" s="1062"/>
      <c r="V38" s="1062"/>
      <c r="W38" s="1062"/>
      <c r="X38" s="1062"/>
      <c r="Y38" s="1062"/>
      <c r="Z38" s="1062"/>
      <c r="AA38" s="1062"/>
      <c r="AB38" s="1062"/>
      <c r="AC38" s="1062"/>
      <c r="AD38" s="1062"/>
      <c r="AE38" s="1062"/>
      <c r="AF38" s="1062"/>
      <c r="AG38" s="1062"/>
      <c r="AH38" s="1062"/>
      <c r="AI38" s="1062"/>
      <c r="AJ38" s="1062"/>
      <c r="AK38" s="1062"/>
      <c r="AL38" s="1062"/>
      <c r="AM38" s="1062"/>
      <c r="AN38" s="1062"/>
      <c r="AO38" s="1062"/>
      <c r="AP38" s="1062"/>
      <c r="AQ38" s="1062"/>
      <c r="AR38" s="619"/>
      <c r="AS38" s="619"/>
      <c r="AY38" s="647"/>
      <c r="AZ38" s="646"/>
      <c r="BA38" s="646"/>
      <c r="BB38" s="646"/>
    </row>
    <row r="39" spans="1:59" ht="18.75" customHeight="1">
      <c r="A39" s="1037" t="str">
        <f>IF(APNATION="","",VLOOKUP(APNATION,SCHOOLINFO,13,0))</f>
        <v>(Please enter any of the tests you have completed from the dropdown list)</v>
      </c>
      <c r="B39" s="1037"/>
      <c r="C39" s="1037"/>
      <c r="D39" s="1037"/>
      <c r="E39" s="1037"/>
      <c r="F39" s="1037"/>
      <c r="G39" s="1037"/>
      <c r="H39" s="1037"/>
      <c r="I39" s="1037"/>
      <c r="J39" s="1037"/>
      <c r="K39" s="1037"/>
      <c r="L39" s="1037"/>
      <c r="M39" s="1037"/>
      <c r="N39" s="1037"/>
      <c r="O39" s="1037"/>
      <c r="P39" s="1037"/>
      <c r="Q39" s="1037"/>
      <c r="R39" s="1037"/>
      <c r="S39" s="1037"/>
      <c r="T39" s="1037"/>
      <c r="U39" s="1037"/>
      <c r="V39" s="1037"/>
      <c r="W39" s="1037"/>
      <c r="X39" s="1037"/>
      <c r="Y39" s="1037"/>
      <c r="Z39" s="1037"/>
      <c r="AA39" s="1037"/>
      <c r="AB39" s="1037"/>
      <c r="AC39" s="1037"/>
      <c r="AD39" s="1037"/>
      <c r="AE39" s="1037"/>
      <c r="AF39" s="1037"/>
      <c r="AG39" s="1037"/>
      <c r="AH39" s="1037"/>
      <c r="AI39" s="1037"/>
      <c r="AJ39" s="1037"/>
      <c r="AK39" s="1037"/>
      <c r="AL39" s="1037"/>
      <c r="AM39" s="1037"/>
      <c r="AN39" s="1037"/>
      <c r="AO39" s="1037"/>
      <c r="AP39" s="1037"/>
      <c r="AQ39" s="1037"/>
      <c r="AR39" s="619"/>
      <c r="AS39" s="619"/>
      <c r="AY39" s="647"/>
      <c r="AZ39" s="646"/>
      <c r="BA39" s="646"/>
      <c r="BB39" s="646"/>
    </row>
    <row r="40" spans="1:59" ht="18.75" customHeight="1">
      <c r="A40" s="1043" t="str">
        <f>IF(APNATION="","",VLOOKUP(APNATION,SCHOOLINFO,18,0))</f>
        <v>Type of Test</v>
      </c>
      <c r="B40" s="1044"/>
      <c r="C40" s="1044"/>
      <c r="D40" s="1044"/>
      <c r="E40" s="1044"/>
      <c r="F40" s="1044"/>
      <c r="G40" s="1044"/>
      <c r="H40" s="1044"/>
      <c r="I40" s="1044"/>
      <c r="J40" s="1044"/>
      <c r="K40" s="1044"/>
      <c r="L40" s="1044"/>
      <c r="M40" s="1044"/>
      <c r="N40" s="1044"/>
      <c r="O40" s="1044"/>
      <c r="P40" s="1045" t="str">
        <f>IF(APNATION="","",VLOOKUP(APNATION,SCHOOLINFO,19,0))</f>
        <v>Level</v>
      </c>
      <c r="Q40" s="1045"/>
      <c r="R40" s="1045"/>
      <c r="S40" s="1045"/>
      <c r="T40" s="1045"/>
      <c r="U40" s="1045"/>
      <c r="V40" s="1046" t="str">
        <f>IF(APNATION="","",VLOOKUP(APNATION,SCHOOLINFO,20,0))</f>
        <v>Result</v>
      </c>
      <c r="W40" s="1044"/>
      <c r="X40" s="1044"/>
      <c r="Y40" s="1044"/>
      <c r="Z40" s="1044"/>
      <c r="AA40" s="1044"/>
      <c r="AB40" s="1044"/>
      <c r="AC40" s="1044"/>
      <c r="AD40" s="1044"/>
      <c r="AE40" s="1044"/>
      <c r="AF40" s="1046" t="str">
        <f>IF(APNATION="","",VLOOKUP(APNATION,SCHOOLINFO,17,0))</f>
        <v>Date of Examination (Y/M/D)</v>
      </c>
      <c r="AG40" s="1044"/>
      <c r="AH40" s="1044"/>
      <c r="AI40" s="1044"/>
      <c r="AJ40" s="1044"/>
      <c r="AK40" s="1044"/>
      <c r="AL40" s="1047"/>
      <c r="AM40" s="1046" t="str">
        <f>IF(APNATION="","",VLOOKUP(APNATION,SCHOOLINFO,21,0))</f>
        <v>Score</v>
      </c>
      <c r="AN40" s="1044"/>
      <c r="AO40" s="1044"/>
      <c r="AP40" s="1044"/>
      <c r="AQ40" s="1048"/>
      <c r="AR40" s="619"/>
      <c r="AS40" s="619"/>
      <c r="AT40" s="624"/>
    </row>
    <row r="41" spans="1:59" ht="18" customHeight="1">
      <c r="A41" s="1049" t="s">
        <v>18</v>
      </c>
      <c r="B41" s="1050"/>
      <c r="C41" s="1050"/>
      <c r="D41" s="1050"/>
      <c r="E41" s="1050"/>
      <c r="F41" s="1050"/>
      <c r="G41" s="1050"/>
      <c r="H41" s="1050"/>
      <c r="I41" s="1050"/>
      <c r="J41" s="1050"/>
      <c r="K41" s="1050"/>
      <c r="L41" s="1050"/>
      <c r="M41" s="1050"/>
      <c r="N41" s="1050"/>
      <c r="O41" s="1050"/>
      <c r="P41" s="1051"/>
      <c r="Q41" s="1051"/>
      <c r="R41" s="1051"/>
      <c r="S41" s="1051"/>
      <c r="T41" s="1051"/>
      <c r="U41" s="1051"/>
      <c r="V41" s="1052"/>
      <c r="W41" s="1053"/>
      <c r="X41" s="1053"/>
      <c r="Y41" s="1053"/>
      <c r="Z41" s="1053"/>
      <c r="AA41" s="1053"/>
      <c r="AB41" s="1053"/>
      <c r="AC41" s="1053"/>
      <c r="AD41" s="1053"/>
      <c r="AE41" s="1054"/>
      <c r="AF41" s="1055"/>
      <c r="AG41" s="1055"/>
      <c r="AH41" s="1055"/>
      <c r="AI41" s="1055"/>
      <c r="AJ41" s="1055"/>
      <c r="AK41" s="1055"/>
      <c r="AL41" s="1055"/>
      <c r="AM41" s="1056"/>
      <c r="AN41" s="1057"/>
      <c r="AO41" s="1057"/>
      <c r="AP41" s="1057"/>
      <c r="AQ41" s="1058"/>
      <c r="AR41" s="619"/>
      <c r="AS41" s="619"/>
    </row>
    <row r="42" spans="1:59" ht="18" customHeight="1">
      <c r="A42" s="1025" t="s">
        <v>19</v>
      </c>
      <c r="B42" s="1026"/>
      <c r="C42" s="1026"/>
      <c r="D42" s="1026"/>
      <c r="E42" s="1026"/>
      <c r="F42" s="1026"/>
      <c r="G42" s="1026"/>
      <c r="H42" s="1026"/>
      <c r="I42" s="1026"/>
      <c r="J42" s="1026"/>
      <c r="K42" s="1026"/>
      <c r="L42" s="1026"/>
      <c r="M42" s="1026"/>
      <c r="N42" s="1026"/>
      <c r="O42" s="1026"/>
      <c r="P42" s="1027"/>
      <c r="Q42" s="1028"/>
      <c r="R42" s="1028"/>
      <c r="S42" s="1028"/>
      <c r="T42" s="1028"/>
      <c r="U42" s="1029"/>
      <c r="V42" s="1030"/>
      <c r="W42" s="1031"/>
      <c r="X42" s="1031"/>
      <c r="Y42" s="1031"/>
      <c r="Z42" s="1031"/>
      <c r="AA42" s="1031"/>
      <c r="AB42" s="1031"/>
      <c r="AC42" s="1031"/>
      <c r="AD42" s="1031"/>
      <c r="AE42" s="1032"/>
      <c r="AF42" s="1001"/>
      <c r="AG42" s="1001"/>
      <c r="AH42" s="1001"/>
      <c r="AI42" s="1001"/>
      <c r="AJ42" s="1001"/>
      <c r="AK42" s="1001"/>
      <c r="AL42" s="1001"/>
      <c r="AM42" s="1033"/>
      <c r="AN42" s="1034"/>
      <c r="AO42" s="1034"/>
      <c r="AP42" s="1034"/>
      <c r="AQ42" s="1035"/>
      <c r="AR42" s="619"/>
      <c r="AS42" s="619"/>
    </row>
    <row r="43" spans="1:59" ht="22.5" customHeight="1">
      <c r="A43" s="1036" t="str">
        <f>IF(APNATION="","",VLOOKUP(APNATION,WORKINFO,2,0))</f>
        <v>Career History</v>
      </c>
      <c r="B43" s="1036"/>
      <c r="C43" s="1036"/>
      <c r="D43" s="1036"/>
      <c r="E43" s="1036"/>
      <c r="F43" s="1036"/>
      <c r="G43" s="1036"/>
      <c r="H43" s="1036"/>
      <c r="I43" s="1036"/>
      <c r="J43" s="1036"/>
      <c r="K43" s="1036"/>
      <c r="L43" s="1036"/>
      <c r="M43" s="1036"/>
      <c r="N43" s="1036"/>
      <c r="O43" s="1036"/>
      <c r="P43" s="1036"/>
      <c r="Q43" s="1036"/>
      <c r="R43" s="1036"/>
      <c r="S43" s="1036"/>
      <c r="T43" s="1036"/>
      <c r="U43" s="1036"/>
      <c r="V43" s="1036"/>
      <c r="W43" s="1036"/>
      <c r="X43" s="1036"/>
      <c r="Y43" s="1036"/>
      <c r="Z43" s="1036"/>
      <c r="AA43" s="1036"/>
      <c r="AB43" s="1036"/>
      <c r="AC43" s="1036"/>
      <c r="AD43" s="1036"/>
      <c r="AE43" s="1036"/>
      <c r="AF43" s="815"/>
      <c r="AG43" s="815"/>
      <c r="AH43" s="815"/>
      <c r="AI43" s="815"/>
      <c r="AJ43" s="815"/>
      <c r="AK43" s="815"/>
      <c r="AL43" s="815"/>
      <c r="AM43" s="1036"/>
      <c r="AN43" s="1036"/>
      <c r="AO43" s="1036"/>
      <c r="AP43" s="1036"/>
      <c r="AQ43" s="1036"/>
      <c r="AR43" s="619"/>
      <c r="AS43" s="619"/>
    </row>
    <row r="44" spans="1:59" ht="18.75" customHeight="1">
      <c r="A44" s="1037" t="str">
        <f>IF(APNATION="","",VLOOKUP(APNATION,WORKINFO,3,0))</f>
        <v>(Please enter any full-time work experience)</v>
      </c>
      <c r="B44" s="1037"/>
      <c r="C44" s="1037"/>
      <c r="D44" s="1037"/>
      <c r="E44" s="1037"/>
      <c r="F44" s="1037"/>
      <c r="G44" s="1037"/>
      <c r="H44" s="1037"/>
      <c r="I44" s="1037"/>
      <c r="J44" s="1037"/>
      <c r="K44" s="1037"/>
      <c r="L44" s="1037"/>
      <c r="M44" s="1037"/>
      <c r="N44" s="1037"/>
      <c r="O44" s="1037"/>
      <c r="P44" s="1037"/>
      <c r="Q44" s="1037"/>
      <c r="R44" s="1037"/>
      <c r="S44" s="1037"/>
      <c r="T44" s="1037"/>
      <c r="U44" s="1037"/>
      <c r="V44" s="1037"/>
      <c r="W44" s="1037"/>
      <c r="X44" s="1037"/>
      <c r="Y44" s="1037"/>
      <c r="Z44" s="1037"/>
      <c r="AA44" s="1037"/>
      <c r="AB44" s="1037"/>
      <c r="AC44" s="1037"/>
      <c r="AD44" s="1037"/>
      <c r="AE44" s="1037"/>
      <c r="AF44" s="1037"/>
      <c r="AG44" s="1037"/>
      <c r="AH44" s="1037"/>
      <c r="AI44" s="1037"/>
      <c r="AJ44" s="1037"/>
      <c r="AK44" s="1037"/>
      <c r="AL44" s="1037"/>
      <c r="AM44" s="1037"/>
      <c r="AN44" s="1037"/>
      <c r="AO44" s="1037"/>
      <c r="AP44" s="1037"/>
      <c r="AQ44" s="1037"/>
      <c r="AR44" s="619"/>
      <c r="AS44" s="619"/>
      <c r="AT44" s="619"/>
      <c r="AU44" s="641"/>
      <c r="AY44" s="647"/>
      <c r="AZ44" s="646"/>
      <c r="BA44" s="646"/>
      <c r="BB44" s="646"/>
    </row>
    <row r="45" spans="1:59" ht="18.75" customHeight="1">
      <c r="A45" s="606"/>
      <c r="B45" s="1038" t="str">
        <f>IF(APNATION="","",VLOOKUP(APNATION,WORKINFO,4,0))</f>
        <v>Workplace / Company Name</v>
      </c>
      <c r="C45" s="1039"/>
      <c r="D45" s="1039"/>
      <c r="E45" s="1039"/>
      <c r="F45" s="1039"/>
      <c r="G45" s="1039"/>
      <c r="H45" s="1039"/>
      <c r="I45" s="1039"/>
      <c r="J45" s="1039"/>
      <c r="K45" s="1039"/>
      <c r="L45" s="1039"/>
      <c r="M45" s="1039"/>
      <c r="N45" s="1039"/>
      <c r="O45" s="1040" t="str">
        <f>IF(APNATION="","",VLOOKUP(APNATION,WORKINFO,5,0))</f>
        <v>Work Address</v>
      </c>
      <c r="P45" s="1041"/>
      <c r="Q45" s="1041"/>
      <c r="R45" s="1041"/>
      <c r="S45" s="1041"/>
      <c r="T45" s="1041"/>
      <c r="U45" s="1041"/>
      <c r="V45" s="1041"/>
      <c r="W45" s="1041"/>
      <c r="X45" s="1041"/>
      <c r="Y45" s="1041"/>
      <c r="Z45" s="1041"/>
      <c r="AA45" s="1041"/>
      <c r="AB45" s="1041"/>
      <c r="AC45" s="1038"/>
      <c r="AD45" s="1040" t="str">
        <f>IF(APNATION="","",VLOOKUP(APNATION,WORKINFO,6,0))</f>
        <v>Start Date (Y/M/D)</v>
      </c>
      <c r="AE45" s="1041"/>
      <c r="AF45" s="1041"/>
      <c r="AG45" s="1041"/>
      <c r="AH45" s="1041"/>
      <c r="AI45" s="1041"/>
      <c r="AJ45" s="1038"/>
      <c r="AK45" s="1040" t="str">
        <f>IF(APNATION="","",VLOOKUP(APNATION,WORKINFO,7,0))</f>
        <v>Finish Date (Y/M/D)</v>
      </c>
      <c r="AL45" s="1041"/>
      <c r="AM45" s="1041"/>
      <c r="AN45" s="1041"/>
      <c r="AO45" s="1041"/>
      <c r="AP45" s="1041"/>
      <c r="AQ45" s="1042"/>
      <c r="AR45" s="619"/>
      <c r="AS45" s="619"/>
      <c r="AT45" s="624"/>
      <c r="AU45" s="641"/>
      <c r="AV45" s="642"/>
      <c r="AW45" s="642"/>
      <c r="AY45" s="647"/>
      <c r="AZ45" s="646"/>
      <c r="BA45" s="646"/>
      <c r="BB45" s="646"/>
    </row>
    <row r="46" spans="1:59" ht="15" customHeight="1">
      <c r="A46" s="609">
        <v>1</v>
      </c>
      <c r="B46" s="1010"/>
      <c r="C46" s="1010"/>
      <c r="D46" s="1010"/>
      <c r="E46" s="1010"/>
      <c r="F46" s="1010"/>
      <c r="G46" s="1010"/>
      <c r="H46" s="1010"/>
      <c r="I46" s="1010"/>
      <c r="J46" s="1010"/>
      <c r="K46" s="1010"/>
      <c r="L46" s="1010"/>
      <c r="M46" s="1010"/>
      <c r="N46" s="1010"/>
      <c r="O46" s="1011"/>
      <c r="P46" s="1012"/>
      <c r="Q46" s="1012"/>
      <c r="R46" s="1012"/>
      <c r="S46" s="1012"/>
      <c r="T46" s="1012"/>
      <c r="U46" s="1012"/>
      <c r="V46" s="1012"/>
      <c r="W46" s="1012"/>
      <c r="X46" s="1012"/>
      <c r="Y46" s="1012"/>
      <c r="Z46" s="1012"/>
      <c r="AA46" s="1012"/>
      <c r="AB46" s="1012"/>
      <c r="AC46" s="1013"/>
      <c r="AD46" s="1014"/>
      <c r="AE46" s="1015"/>
      <c r="AF46" s="1015"/>
      <c r="AG46" s="1015"/>
      <c r="AH46" s="1015"/>
      <c r="AI46" s="1015"/>
      <c r="AJ46" s="1016"/>
      <c r="AK46" s="1017"/>
      <c r="AL46" s="1015"/>
      <c r="AM46" s="1015"/>
      <c r="AN46" s="1015"/>
      <c r="AO46" s="1015"/>
      <c r="AP46" s="1015"/>
      <c r="AQ46" s="1018"/>
      <c r="AR46" s="619"/>
      <c r="AS46" s="619"/>
      <c r="AT46" s="624"/>
      <c r="AU46" s="641"/>
      <c r="AV46" s="642"/>
      <c r="AW46" s="642"/>
      <c r="AY46" s="647"/>
      <c r="AZ46" s="646"/>
      <c r="BA46" s="646"/>
      <c r="BB46" s="646"/>
    </row>
    <row r="47" spans="1:59" ht="15" customHeight="1">
      <c r="A47" s="610">
        <v>2</v>
      </c>
      <c r="B47" s="1019"/>
      <c r="C47" s="1019"/>
      <c r="D47" s="1019"/>
      <c r="E47" s="1019"/>
      <c r="F47" s="1019"/>
      <c r="G47" s="1019"/>
      <c r="H47" s="1019"/>
      <c r="I47" s="1019"/>
      <c r="J47" s="1019"/>
      <c r="K47" s="1019"/>
      <c r="L47" s="1019"/>
      <c r="M47" s="1019"/>
      <c r="N47" s="1019"/>
      <c r="O47" s="1020"/>
      <c r="P47" s="1021"/>
      <c r="Q47" s="1021"/>
      <c r="R47" s="1021"/>
      <c r="S47" s="1021"/>
      <c r="T47" s="1021"/>
      <c r="U47" s="1021"/>
      <c r="V47" s="1021"/>
      <c r="W47" s="1021"/>
      <c r="X47" s="1021"/>
      <c r="Y47" s="1021"/>
      <c r="Z47" s="1021"/>
      <c r="AA47" s="1021"/>
      <c r="AB47" s="1021"/>
      <c r="AC47" s="1022"/>
      <c r="AD47" s="1023"/>
      <c r="AE47" s="1023"/>
      <c r="AF47" s="1023"/>
      <c r="AG47" s="1023"/>
      <c r="AH47" s="1023"/>
      <c r="AI47" s="1023"/>
      <c r="AJ47" s="1023"/>
      <c r="AK47" s="1023"/>
      <c r="AL47" s="1023"/>
      <c r="AM47" s="1023"/>
      <c r="AN47" s="1023"/>
      <c r="AO47" s="1023"/>
      <c r="AP47" s="1023"/>
      <c r="AQ47" s="1024"/>
      <c r="AR47" s="634"/>
      <c r="AS47" s="634"/>
      <c r="AU47" s="641"/>
      <c r="AV47" s="642"/>
      <c r="AW47" s="642"/>
      <c r="AY47" s="647"/>
      <c r="AZ47" s="646"/>
      <c r="BA47" s="646"/>
      <c r="BB47" s="646"/>
    </row>
    <row r="48" spans="1:59" ht="15" customHeight="1">
      <c r="A48" s="610">
        <v>3</v>
      </c>
      <c r="B48" s="1019"/>
      <c r="C48" s="1019"/>
      <c r="D48" s="1019"/>
      <c r="E48" s="1019"/>
      <c r="F48" s="1019"/>
      <c r="G48" s="1019"/>
      <c r="H48" s="1019"/>
      <c r="I48" s="1019"/>
      <c r="J48" s="1019"/>
      <c r="K48" s="1019"/>
      <c r="L48" s="1019"/>
      <c r="M48" s="1019"/>
      <c r="N48" s="1019"/>
      <c r="O48" s="1020"/>
      <c r="P48" s="1021"/>
      <c r="Q48" s="1021"/>
      <c r="R48" s="1021"/>
      <c r="S48" s="1021"/>
      <c r="T48" s="1021"/>
      <c r="U48" s="1021"/>
      <c r="V48" s="1021"/>
      <c r="W48" s="1021"/>
      <c r="X48" s="1021"/>
      <c r="Y48" s="1021"/>
      <c r="Z48" s="1021"/>
      <c r="AA48" s="1021"/>
      <c r="AB48" s="1021"/>
      <c r="AC48" s="1022"/>
      <c r="AD48" s="1023"/>
      <c r="AE48" s="1023"/>
      <c r="AF48" s="1023"/>
      <c r="AG48" s="1023"/>
      <c r="AH48" s="1023"/>
      <c r="AI48" s="1023"/>
      <c r="AJ48" s="1023"/>
      <c r="AK48" s="1023"/>
      <c r="AL48" s="1023"/>
      <c r="AM48" s="1023"/>
      <c r="AN48" s="1023"/>
      <c r="AO48" s="1023"/>
      <c r="AP48" s="1023"/>
      <c r="AQ48" s="1024"/>
      <c r="AR48" s="596"/>
      <c r="AS48" s="596"/>
      <c r="AT48" s="619"/>
      <c r="AU48" s="641"/>
      <c r="AV48" s="642"/>
      <c r="AW48" s="642"/>
      <c r="AX48" s="596"/>
      <c r="AY48" s="647"/>
      <c r="AZ48" s="646"/>
      <c r="BA48" s="646"/>
      <c r="BB48" s="646"/>
      <c r="BC48" s="596"/>
      <c r="BD48" s="596"/>
      <c r="BE48" s="596"/>
      <c r="BF48" s="596"/>
      <c r="BG48" s="596"/>
    </row>
    <row r="49" spans="1:106" ht="15" customHeight="1">
      <c r="A49" s="611">
        <v>4</v>
      </c>
      <c r="B49" s="997"/>
      <c r="C49" s="997"/>
      <c r="D49" s="997"/>
      <c r="E49" s="997"/>
      <c r="F49" s="997"/>
      <c r="G49" s="997"/>
      <c r="H49" s="997"/>
      <c r="I49" s="997"/>
      <c r="J49" s="997"/>
      <c r="K49" s="997"/>
      <c r="L49" s="997"/>
      <c r="M49" s="997"/>
      <c r="N49" s="997"/>
      <c r="O49" s="998"/>
      <c r="P49" s="999"/>
      <c r="Q49" s="999"/>
      <c r="R49" s="999"/>
      <c r="S49" s="999"/>
      <c r="T49" s="999"/>
      <c r="U49" s="999"/>
      <c r="V49" s="999"/>
      <c r="W49" s="999"/>
      <c r="X49" s="999"/>
      <c r="Y49" s="999"/>
      <c r="Z49" s="999"/>
      <c r="AA49" s="999"/>
      <c r="AB49" s="999"/>
      <c r="AC49" s="1000"/>
      <c r="AD49" s="1001"/>
      <c r="AE49" s="1001"/>
      <c r="AF49" s="1001"/>
      <c r="AG49" s="1001"/>
      <c r="AH49" s="1001"/>
      <c r="AI49" s="1001"/>
      <c r="AJ49" s="1001"/>
      <c r="AK49" s="1001"/>
      <c r="AL49" s="1001"/>
      <c r="AM49" s="1001"/>
      <c r="AN49" s="1001"/>
      <c r="AO49" s="1001"/>
      <c r="AP49" s="1001"/>
      <c r="AQ49" s="1002"/>
      <c r="AR49" s="619"/>
      <c r="AS49" s="619"/>
      <c r="AT49" s="619"/>
      <c r="AU49" s="641"/>
      <c r="AV49" s="596"/>
      <c r="AW49" s="596"/>
      <c r="AX49" s="596"/>
      <c r="AY49" s="647"/>
      <c r="AZ49" s="646"/>
      <c r="BA49" s="646"/>
      <c r="BB49" s="646"/>
      <c r="BC49" s="596"/>
      <c r="BD49" s="596"/>
      <c r="BE49" s="596"/>
      <c r="BF49" s="596"/>
      <c r="BG49" s="596"/>
      <c r="BH49" s="596"/>
      <c r="BI49" s="596"/>
    </row>
    <row r="50" spans="1:106" ht="22.5" customHeight="1">
      <c r="A50" s="1003" t="str">
        <f>IF(APNATION="","",VLOOKUP(APNATION,RELATIVEINFO,2,0))</f>
        <v>Relatives in Japan</v>
      </c>
      <c r="B50" s="1003"/>
      <c r="C50" s="1003"/>
      <c r="D50" s="1003"/>
      <c r="E50" s="1003"/>
      <c r="F50" s="1003"/>
      <c r="G50" s="1003"/>
      <c r="H50" s="1003"/>
      <c r="I50" s="1003"/>
      <c r="J50" s="1003"/>
      <c r="K50" s="1003"/>
      <c r="L50" s="1003"/>
      <c r="M50" s="1003"/>
      <c r="N50" s="1003"/>
      <c r="O50" s="1003"/>
      <c r="P50" s="1003"/>
      <c r="Q50" s="1003"/>
      <c r="R50" s="1003"/>
      <c r="S50" s="1003"/>
      <c r="T50" s="1003"/>
      <c r="U50" s="1003"/>
      <c r="V50" s="1003"/>
      <c r="W50" s="1003"/>
      <c r="X50" s="1003"/>
      <c r="Y50" s="1003"/>
      <c r="Z50" s="1003"/>
      <c r="AA50" s="1003"/>
      <c r="AB50" s="1003"/>
      <c r="AC50" s="1003"/>
      <c r="AD50" s="1003"/>
      <c r="AE50" s="1003"/>
      <c r="AF50" s="1003"/>
      <c r="AG50" s="1003"/>
      <c r="AH50" s="1003"/>
      <c r="AI50" s="1003"/>
      <c r="AJ50" s="1003"/>
      <c r="AK50" s="1003"/>
      <c r="AL50" s="1003"/>
      <c r="AM50" s="1003"/>
      <c r="AN50" s="1003"/>
      <c r="AO50" s="1003"/>
      <c r="AP50" s="1003"/>
      <c r="AQ50" s="1003"/>
      <c r="AR50" s="619"/>
      <c r="AS50" s="619"/>
      <c r="AT50" s="643"/>
      <c r="AU50" s="641"/>
      <c r="AV50" s="597"/>
      <c r="AW50" s="597"/>
      <c r="AX50" s="597"/>
      <c r="AY50" s="647"/>
      <c r="AZ50" s="646"/>
      <c r="BA50" s="646"/>
      <c r="BB50" s="646"/>
      <c r="BC50" s="597"/>
      <c r="BD50" s="597"/>
      <c r="BE50" s="597"/>
      <c r="BF50" s="597"/>
      <c r="BG50" s="597"/>
      <c r="BH50" s="596"/>
      <c r="BI50" s="596"/>
      <c r="BJ50" s="596"/>
      <c r="BK50" s="596"/>
      <c r="BL50" s="596"/>
      <c r="BM50" s="596"/>
    </row>
    <row r="51" spans="1:106" ht="19.5" customHeight="1">
      <c r="A51" s="982" t="str">
        <f>IF(APNATION="","",VLOOKUP(APNATION,NAMETR,5,0))</f>
        <v>Full Name</v>
      </c>
      <c r="B51" s="983"/>
      <c r="C51" s="983"/>
      <c r="D51" s="983"/>
      <c r="E51" s="983"/>
      <c r="F51" s="1004"/>
      <c r="G51" s="1004"/>
      <c r="H51" s="1004"/>
      <c r="I51" s="1004"/>
      <c r="J51" s="1004"/>
      <c r="K51" s="1004"/>
      <c r="L51" s="1004"/>
      <c r="M51" s="1004"/>
      <c r="N51" s="1004"/>
      <c r="O51" s="1004"/>
      <c r="P51" s="1004"/>
      <c r="Q51" s="987" t="str">
        <f>IF(APNATION="","",VLOOKUP(APNATION,RELATIVEINFO,4,0))</f>
        <v>Date of Birth (Y/M/D)</v>
      </c>
      <c r="R51" s="988"/>
      <c r="S51" s="988"/>
      <c r="T51" s="988"/>
      <c r="U51" s="988"/>
      <c r="V51" s="989"/>
      <c r="W51" s="1005"/>
      <c r="X51" s="1006"/>
      <c r="Y51" s="1006"/>
      <c r="Z51" s="1006"/>
      <c r="AA51" s="1006"/>
      <c r="AB51" s="1006"/>
      <c r="AC51" s="1006"/>
      <c r="AD51" s="1007"/>
      <c r="AE51" s="993" t="str">
        <f>IF(APNATION="","",VLOOKUP(APNATION,STUDENTINFO,19,0))</f>
        <v>Occupation</v>
      </c>
      <c r="AF51" s="993"/>
      <c r="AG51" s="993"/>
      <c r="AH51" s="993"/>
      <c r="AI51" s="993"/>
      <c r="AJ51" s="1008"/>
      <c r="AK51" s="1008"/>
      <c r="AL51" s="1008"/>
      <c r="AM51" s="1008"/>
      <c r="AN51" s="1008"/>
      <c r="AO51" s="1008"/>
      <c r="AP51" s="1008"/>
      <c r="AQ51" s="1009"/>
      <c r="AT51" s="619"/>
      <c r="AU51" s="641"/>
      <c r="AV51" s="596"/>
      <c r="AW51" s="596"/>
      <c r="AX51" s="596"/>
      <c r="AY51" s="647"/>
      <c r="AZ51" s="646"/>
      <c r="BA51" s="646"/>
      <c r="BB51" s="646"/>
      <c r="BC51" s="596"/>
      <c r="BD51" s="596"/>
      <c r="BE51" s="596"/>
      <c r="BF51" s="596"/>
      <c r="BG51" s="596"/>
      <c r="BH51" s="597"/>
      <c r="BI51" s="597"/>
      <c r="BJ51" s="596"/>
      <c r="BK51" s="596"/>
      <c r="BL51" s="596"/>
      <c r="BM51" s="596"/>
      <c r="BN51" s="596"/>
      <c r="BO51" s="596"/>
      <c r="BP51" s="596"/>
      <c r="BQ51" s="596"/>
      <c r="BR51" s="596"/>
      <c r="BS51" s="596"/>
      <c r="BT51" s="596"/>
      <c r="BU51" s="596"/>
      <c r="BV51" s="596"/>
      <c r="BW51" s="596"/>
      <c r="BX51" s="596"/>
      <c r="BY51" s="596"/>
      <c r="BZ51" s="596"/>
      <c r="CA51" s="596"/>
      <c r="CB51" s="596"/>
      <c r="CC51" s="596"/>
      <c r="CD51" s="596"/>
      <c r="CE51" s="596"/>
      <c r="CF51" s="596"/>
      <c r="CG51" s="596"/>
      <c r="CH51" s="596"/>
      <c r="CI51" s="596"/>
      <c r="CJ51" s="596"/>
      <c r="CK51" s="596"/>
      <c r="CL51" s="596"/>
      <c r="CM51" s="596"/>
      <c r="CN51" s="596"/>
      <c r="CO51" s="596"/>
      <c r="CP51" s="596"/>
      <c r="CQ51" s="596"/>
      <c r="CR51" s="596"/>
      <c r="CS51" s="596"/>
      <c r="CT51" s="596"/>
      <c r="CU51" s="596"/>
      <c r="CV51" s="596"/>
      <c r="CW51" s="596"/>
      <c r="CX51" s="596"/>
      <c r="CY51" s="596"/>
      <c r="CZ51" s="596"/>
      <c r="DA51" s="596"/>
      <c r="DB51" s="596"/>
    </row>
    <row r="52" spans="1:106" s="596" customFormat="1" ht="19.5" customHeight="1">
      <c r="A52" s="939" t="str">
        <f>IF(APNATION="","",VLOOKUP(APNATION,RELATIVEINFO,5,0))</f>
        <v>Relationship</v>
      </c>
      <c r="B52" s="940"/>
      <c r="C52" s="940"/>
      <c r="D52" s="940"/>
      <c r="E52" s="941"/>
      <c r="F52" s="942"/>
      <c r="G52" s="943"/>
      <c r="H52" s="943"/>
      <c r="I52" s="943"/>
      <c r="J52" s="943"/>
      <c r="K52" s="943"/>
      <c r="L52" s="943"/>
      <c r="M52" s="943"/>
      <c r="N52" s="943"/>
      <c r="O52" s="943"/>
      <c r="P52" s="944"/>
      <c r="Q52" s="945" t="str">
        <f>IF(APNATION="","",VLOOKUP(APNATION,RELATIVEINFO,6,0))</f>
        <v>Status of Residence</v>
      </c>
      <c r="R52" s="940"/>
      <c r="S52" s="940"/>
      <c r="T52" s="940"/>
      <c r="U52" s="940"/>
      <c r="V52" s="941"/>
      <c r="W52" s="946"/>
      <c r="X52" s="947"/>
      <c r="Y52" s="947"/>
      <c r="Z52" s="947"/>
      <c r="AA52" s="947"/>
      <c r="AB52" s="947"/>
      <c r="AC52" s="947"/>
      <c r="AD52" s="948"/>
      <c r="AE52" s="949" t="str">
        <f>IF(APNATION="","",VLOOKUP(APNATION,RELATIVEINFO,7,0))</f>
        <v>Intend to live together</v>
      </c>
      <c r="AF52" s="853"/>
      <c r="AG52" s="853"/>
      <c r="AH52" s="853"/>
      <c r="AI52" s="854"/>
      <c r="AJ52" s="950"/>
      <c r="AK52" s="951"/>
      <c r="AL52" s="951"/>
      <c r="AM52" s="951"/>
      <c r="AN52" s="951"/>
      <c r="AO52" s="951"/>
      <c r="AP52" s="951"/>
      <c r="AQ52" s="952"/>
      <c r="BB52" s="646"/>
      <c r="BJ52" s="597"/>
      <c r="BK52" s="597"/>
      <c r="BL52" s="597"/>
      <c r="BM52" s="597"/>
    </row>
    <row r="53" spans="1:106" s="596" customFormat="1" ht="19.5" customHeight="1">
      <c r="A53" s="939" t="str">
        <f>IF(APNATION="","",VLOOKUP(APNATION,STUDENTINFO,5,0))</f>
        <v>Nationality</v>
      </c>
      <c r="B53" s="940"/>
      <c r="C53" s="940"/>
      <c r="D53" s="940"/>
      <c r="E53" s="941"/>
      <c r="F53" s="942"/>
      <c r="G53" s="943"/>
      <c r="H53" s="943"/>
      <c r="I53" s="943"/>
      <c r="J53" s="943"/>
      <c r="K53" s="943"/>
      <c r="L53" s="943"/>
      <c r="M53" s="943"/>
      <c r="N53" s="943"/>
      <c r="O53" s="943"/>
      <c r="P53" s="944"/>
      <c r="Q53" s="945" t="str">
        <f>IF(APNATION="","",VLOOKUP(APNATION,RELATIVEINFO,8,0))</f>
        <v>Resident Card Number</v>
      </c>
      <c r="R53" s="940"/>
      <c r="S53" s="940"/>
      <c r="T53" s="940"/>
      <c r="U53" s="940"/>
      <c r="V53" s="941"/>
      <c r="W53" s="946"/>
      <c r="X53" s="947"/>
      <c r="Y53" s="947"/>
      <c r="Z53" s="947"/>
      <c r="AA53" s="947"/>
      <c r="AB53" s="947"/>
      <c r="AC53" s="947"/>
      <c r="AD53" s="948"/>
      <c r="AE53" s="953" t="str">
        <f>IF(APNATION="","",VLOOKUP(APNATION,RELATIVEINFO,9,0))</f>
        <v>Work or School Name</v>
      </c>
      <c r="AF53" s="954"/>
      <c r="AG53" s="954"/>
      <c r="AH53" s="954"/>
      <c r="AI53" s="955"/>
      <c r="AJ53" s="981"/>
      <c r="AK53" s="951"/>
      <c r="AL53" s="951"/>
      <c r="AM53" s="951"/>
      <c r="AN53" s="951"/>
      <c r="AO53" s="951"/>
      <c r="AP53" s="951"/>
      <c r="AQ53" s="952"/>
      <c r="AY53" s="647"/>
      <c r="AZ53" s="646"/>
      <c r="BA53" s="646"/>
      <c r="BB53" s="646"/>
      <c r="BC53" s="1"/>
      <c r="BD53" s="1"/>
      <c r="BE53" s="1"/>
      <c r="BF53" s="1"/>
      <c r="BG53" s="1"/>
      <c r="BN53" s="597"/>
      <c r="BO53" s="597"/>
      <c r="BP53" s="597"/>
      <c r="BQ53" s="597"/>
      <c r="BR53" s="597"/>
      <c r="BS53" s="597"/>
      <c r="BT53" s="597"/>
      <c r="BU53" s="597"/>
      <c r="BV53" s="597"/>
      <c r="BW53" s="597"/>
      <c r="BX53" s="597"/>
      <c r="BY53" s="597"/>
      <c r="BZ53" s="597"/>
      <c r="CA53" s="597"/>
      <c r="CB53" s="597"/>
      <c r="CC53" s="597"/>
      <c r="CD53" s="597"/>
      <c r="CE53" s="597"/>
      <c r="CF53" s="597"/>
      <c r="CG53" s="597"/>
      <c r="CH53" s="597"/>
      <c r="CI53" s="597"/>
      <c r="CJ53" s="597"/>
      <c r="CK53" s="597"/>
      <c r="CL53" s="597"/>
      <c r="CM53" s="597"/>
      <c r="CN53" s="597"/>
      <c r="CO53" s="597"/>
      <c r="CP53" s="597"/>
      <c r="CQ53" s="597"/>
      <c r="CR53" s="597"/>
      <c r="CS53" s="597"/>
      <c r="CT53" s="597"/>
      <c r="CU53" s="597"/>
      <c r="CV53" s="597"/>
      <c r="CW53" s="597"/>
      <c r="CX53" s="597"/>
      <c r="CY53" s="597"/>
      <c r="CZ53" s="597"/>
      <c r="DA53" s="597"/>
      <c r="DB53" s="597"/>
    </row>
    <row r="54" spans="1:106" s="597" customFormat="1" ht="19.5" customHeight="1">
      <c r="A54" s="956" t="str">
        <f>IF(APNATION="","",VLOOKUP(APNATION,STUDENTINFO,20,0))</f>
        <v>Home Address</v>
      </c>
      <c r="B54" s="957"/>
      <c r="C54" s="957"/>
      <c r="D54" s="957"/>
      <c r="E54" s="958"/>
      <c r="F54" s="959"/>
      <c r="G54" s="960"/>
      <c r="H54" s="960"/>
      <c r="I54" s="960"/>
      <c r="J54" s="960"/>
      <c r="K54" s="960"/>
      <c r="L54" s="960"/>
      <c r="M54" s="960"/>
      <c r="N54" s="960"/>
      <c r="O54" s="960"/>
      <c r="P54" s="960"/>
      <c r="Q54" s="960"/>
      <c r="R54" s="960"/>
      <c r="S54" s="960"/>
      <c r="T54" s="960"/>
      <c r="U54" s="960"/>
      <c r="V54" s="960"/>
      <c r="W54" s="960"/>
      <c r="X54" s="960"/>
      <c r="Y54" s="960"/>
      <c r="Z54" s="960"/>
      <c r="AA54" s="960"/>
      <c r="AB54" s="960"/>
      <c r="AC54" s="960"/>
      <c r="AD54" s="961"/>
      <c r="AE54" s="962" t="str">
        <f>IF(APNATION="","",VLOOKUP(APNATION,STUDENTINFO,21,0))</f>
        <v>Telephone Number</v>
      </c>
      <c r="AF54" s="957"/>
      <c r="AG54" s="957"/>
      <c r="AH54" s="957"/>
      <c r="AI54" s="958"/>
      <c r="AJ54" s="963"/>
      <c r="AK54" s="964"/>
      <c r="AL54" s="964"/>
      <c r="AM54" s="964"/>
      <c r="AN54" s="964"/>
      <c r="AO54" s="964"/>
      <c r="AP54" s="964"/>
      <c r="AQ54" s="965"/>
      <c r="AY54" s="647"/>
      <c r="AZ54" s="646"/>
      <c r="BA54" s="646"/>
      <c r="BB54" s="646"/>
      <c r="BC54" s="1"/>
      <c r="BD54" s="1"/>
      <c r="BE54" s="1"/>
      <c r="BF54" s="1"/>
      <c r="BG54" s="1"/>
      <c r="BH54" s="1"/>
      <c r="BI54" s="1"/>
      <c r="BJ54" s="596"/>
      <c r="BK54" s="596"/>
      <c r="BL54" s="596"/>
      <c r="BM54" s="596"/>
      <c r="BN54" s="596"/>
      <c r="BO54" s="596"/>
      <c r="BP54" s="596"/>
      <c r="BQ54" s="596"/>
      <c r="BR54" s="596"/>
      <c r="BS54" s="596"/>
      <c r="BT54" s="596"/>
      <c r="BU54" s="596"/>
      <c r="BV54" s="596"/>
      <c r="BW54" s="596"/>
      <c r="BX54" s="596"/>
      <c r="BY54" s="596"/>
      <c r="BZ54" s="596"/>
      <c r="CA54" s="596"/>
      <c r="CB54" s="596"/>
      <c r="CC54" s="596"/>
      <c r="CD54" s="596"/>
      <c r="CE54" s="596"/>
      <c r="CF54" s="596"/>
      <c r="CG54" s="596"/>
      <c r="CH54" s="596"/>
      <c r="CI54" s="596"/>
      <c r="CJ54" s="596"/>
      <c r="CK54" s="596"/>
      <c r="CL54" s="596"/>
      <c r="CM54" s="596"/>
      <c r="CN54" s="596"/>
      <c r="CO54" s="596"/>
      <c r="CP54" s="596"/>
      <c r="CQ54" s="596"/>
      <c r="CR54" s="596"/>
      <c r="CS54" s="596"/>
      <c r="CT54" s="596"/>
      <c r="CU54" s="596"/>
      <c r="CV54" s="596"/>
      <c r="CW54" s="596"/>
      <c r="CX54" s="596"/>
      <c r="CY54" s="596"/>
      <c r="CZ54" s="596"/>
      <c r="DA54" s="596"/>
      <c r="DB54" s="596"/>
    </row>
    <row r="55" spans="1:106" s="596" customFormat="1" ht="19.5" customHeight="1">
      <c r="A55" s="982" t="str">
        <f>IF(APNATION="","",VLOOKUP(APNATION,NAMETR,5,0))</f>
        <v>Full Name</v>
      </c>
      <c r="B55" s="983"/>
      <c r="C55" s="983"/>
      <c r="D55" s="983"/>
      <c r="E55" s="983"/>
      <c r="F55" s="984"/>
      <c r="G55" s="985"/>
      <c r="H55" s="985"/>
      <c r="I55" s="985"/>
      <c r="J55" s="985"/>
      <c r="K55" s="985"/>
      <c r="L55" s="985"/>
      <c r="M55" s="985"/>
      <c r="N55" s="985"/>
      <c r="O55" s="985"/>
      <c r="P55" s="986"/>
      <c r="Q55" s="987" t="str">
        <f>IF(APNATION="","",VLOOKUP(APNATION,RELATIVEINFO,4,0))</f>
        <v>Date of Birth (Y/M/D)</v>
      </c>
      <c r="R55" s="988"/>
      <c r="S55" s="988"/>
      <c r="T55" s="988"/>
      <c r="U55" s="988"/>
      <c r="V55" s="989"/>
      <c r="W55" s="990"/>
      <c r="X55" s="991"/>
      <c r="Y55" s="991"/>
      <c r="Z55" s="991"/>
      <c r="AA55" s="991"/>
      <c r="AB55" s="991"/>
      <c r="AC55" s="991"/>
      <c r="AD55" s="992"/>
      <c r="AE55" s="993" t="str">
        <f>IF(APNATION="","",VLOOKUP(APNATION,STUDENTINFO,19,0))</f>
        <v>Occupation</v>
      </c>
      <c r="AF55" s="993"/>
      <c r="AG55" s="993"/>
      <c r="AH55" s="993"/>
      <c r="AI55" s="993"/>
      <c r="AJ55" s="994"/>
      <c r="AK55" s="995"/>
      <c r="AL55" s="995"/>
      <c r="AM55" s="995"/>
      <c r="AN55" s="995"/>
      <c r="AO55" s="995"/>
      <c r="AP55" s="995"/>
      <c r="AQ55" s="996"/>
      <c r="AT55" s="619"/>
      <c r="AU55" s="641"/>
      <c r="AV55" s="1"/>
      <c r="AW55" s="1"/>
      <c r="AX55" s="1"/>
      <c r="AY55" s="647"/>
      <c r="AZ55" s="646"/>
      <c r="BA55" s="646"/>
      <c r="BB55" s="646"/>
      <c r="BC55" s="1"/>
      <c r="BD55" s="1"/>
      <c r="BE55" s="1"/>
      <c r="BF55" s="1"/>
      <c r="BG55" s="1"/>
      <c r="BH55" s="1"/>
      <c r="BI55" s="1"/>
      <c r="BJ55" s="1"/>
      <c r="BK55" s="1"/>
      <c r="BL55" s="1"/>
      <c r="BM55" s="1"/>
    </row>
    <row r="56" spans="1:106" s="596" customFormat="1" ht="19.5" customHeight="1">
      <c r="A56" s="939" t="str">
        <f>IF(APNATION="","",VLOOKUP(APNATION,RELATIVEINFO,5,0))</f>
        <v>Relationship</v>
      </c>
      <c r="B56" s="940"/>
      <c r="C56" s="940"/>
      <c r="D56" s="940"/>
      <c r="E56" s="941"/>
      <c r="F56" s="942"/>
      <c r="G56" s="943"/>
      <c r="H56" s="943"/>
      <c r="I56" s="943"/>
      <c r="J56" s="943"/>
      <c r="K56" s="943"/>
      <c r="L56" s="943"/>
      <c r="M56" s="943"/>
      <c r="N56" s="943"/>
      <c r="O56" s="943"/>
      <c r="P56" s="944"/>
      <c r="Q56" s="945" t="str">
        <f>IF(APNATION="","",VLOOKUP(APNATION,RELATIVEINFO,6,0))</f>
        <v>Status of Residence</v>
      </c>
      <c r="R56" s="940"/>
      <c r="S56" s="940"/>
      <c r="T56" s="940"/>
      <c r="U56" s="940"/>
      <c r="V56" s="941"/>
      <c r="W56" s="946"/>
      <c r="X56" s="947"/>
      <c r="Y56" s="947"/>
      <c r="Z56" s="947"/>
      <c r="AA56" s="947"/>
      <c r="AB56" s="947"/>
      <c r="AC56" s="947"/>
      <c r="AD56" s="948"/>
      <c r="AE56" s="949" t="str">
        <f>IF(APNATION="","",VLOOKUP(APNATION,RELATIVEINFO,7,0))</f>
        <v>Intend to live together</v>
      </c>
      <c r="AF56" s="853"/>
      <c r="AG56" s="853"/>
      <c r="AH56" s="853"/>
      <c r="AI56" s="854"/>
      <c r="AJ56" s="950"/>
      <c r="AK56" s="951"/>
      <c r="AL56" s="951"/>
      <c r="AM56" s="951"/>
      <c r="AN56" s="951"/>
      <c r="AO56" s="951"/>
      <c r="AP56" s="951"/>
      <c r="AQ56" s="952"/>
      <c r="AT56" s="644"/>
      <c r="AU56" s="645"/>
      <c r="AV56" s="598"/>
      <c r="AW56" s="598"/>
      <c r="AX56" s="598"/>
      <c r="AY56" s="647"/>
      <c r="AZ56" s="646"/>
      <c r="BA56" s="646"/>
      <c r="BB56" s="646"/>
      <c r="BC56" s="598"/>
      <c r="BD56" s="598"/>
      <c r="BE56" s="598"/>
      <c r="BF56" s="598"/>
      <c r="BG56" s="598"/>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row>
    <row r="57" spans="1:106" ht="19.5" customHeight="1">
      <c r="A57" s="939" t="str">
        <f>IF(APNATION="","",VLOOKUP(APNATION,STUDENTINFO,5,0))</f>
        <v>Nationality</v>
      </c>
      <c r="B57" s="940"/>
      <c r="C57" s="940"/>
      <c r="D57" s="940"/>
      <c r="E57" s="941"/>
      <c r="F57" s="942"/>
      <c r="G57" s="943"/>
      <c r="H57" s="943"/>
      <c r="I57" s="943"/>
      <c r="J57" s="943"/>
      <c r="K57" s="943"/>
      <c r="L57" s="943"/>
      <c r="M57" s="943"/>
      <c r="N57" s="943"/>
      <c r="O57" s="943"/>
      <c r="P57" s="944"/>
      <c r="Q57" s="945" t="str">
        <f>IF(APNATION="","",VLOOKUP(APNATION,RELATIVEINFO,8,0))</f>
        <v>Resident Card Number</v>
      </c>
      <c r="R57" s="940"/>
      <c r="S57" s="940"/>
      <c r="T57" s="940"/>
      <c r="U57" s="940"/>
      <c r="V57" s="941"/>
      <c r="W57" s="946"/>
      <c r="X57" s="947"/>
      <c r="Y57" s="947"/>
      <c r="Z57" s="947"/>
      <c r="AA57" s="947"/>
      <c r="AB57" s="947"/>
      <c r="AC57" s="947"/>
      <c r="AD57" s="948"/>
      <c r="AE57" s="953" t="str">
        <f>IF(APNATION="","",VLOOKUP(APNATION,RELATIVEINFO,9,0))</f>
        <v>Work or School Name</v>
      </c>
      <c r="AF57" s="954"/>
      <c r="AG57" s="954"/>
      <c r="AH57" s="954"/>
      <c r="AI57" s="955"/>
      <c r="AJ57" s="981"/>
      <c r="AK57" s="951"/>
      <c r="AL57" s="951"/>
      <c r="AM57" s="951"/>
      <c r="AN57" s="951"/>
      <c r="AO57" s="951"/>
      <c r="AP57" s="951"/>
      <c r="AQ57" s="952"/>
      <c r="AU57" s="645"/>
      <c r="AV57" s="598"/>
      <c r="AW57" s="598"/>
      <c r="AX57" s="598"/>
      <c r="AY57" s="647"/>
      <c r="AZ57" s="646"/>
      <c r="BA57" s="646"/>
      <c r="BB57" s="646"/>
      <c r="BC57" s="598"/>
      <c r="BD57" s="598"/>
      <c r="BE57" s="598"/>
      <c r="BF57" s="598"/>
      <c r="BG57" s="598"/>
      <c r="BH57" s="598"/>
      <c r="BI57" s="598"/>
    </row>
    <row r="58" spans="1:106" ht="19.5" customHeight="1">
      <c r="A58" s="956" t="str">
        <f>IF(APNATION="","",VLOOKUP(APNATION,STUDENTINFO,20,0))</f>
        <v>Home Address</v>
      </c>
      <c r="B58" s="957"/>
      <c r="C58" s="957"/>
      <c r="D58" s="957"/>
      <c r="E58" s="958"/>
      <c r="F58" s="959"/>
      <c r="G58" s="960"/>
      <c r="H58" s="960"/>
      <c r="I58" s="960"/>
      <c r="J58" s="960"/>
      <c r="K58" s="960"/>
      <c r="L58" s="960"/>
      <c r="M58" s="960"/>
      <c r="N58" s="960"/>
      <c r="O58" s="960"/>
      <c r="P58" s="960"/>
      <c r="Q58" s="960"/>
      <c r="R58" s="960"/>
      <c r="S58" s="960"/>
      <c r="T58" s="960"/>
      <c r="U58" s="960"/>
      <c r="V58" s="960"/>
      <c r="W58" s="960"/>
      <c r="X58" s="960"/>
      <c r="Y58" s="960"/>
      <c r="Z58" s="960"/>
      <c r="AA58" s="960"/>
      <c r="AB58" s="960"/>
      <c r="AC58" s="960"/>
      <c r="AD58" s="961"/>
      <c r="AE58" s="962" t="str">
        <f>IF(APNATION="","",VLOOKUP(APNATION,STUDENTINFO,21,0))</f>
        <v>Telephone Number</v>
      </c>
      <c r="AF58" s="957"/>
      <c r="AG58" s="957"/>
      <c r="AH58" s="957"/>
      <c r="AI58" s="958"/>
      <c r="AJ58" s="963"/>
      <c r="AK58" s="964"/>
      <c r="AL58" s="964"/>
      <c r="AM58" s="964"/>
      <c r="AN58" s="964"/>
      <c r="AO58" s="964"/>
      <c r="AP58" s="964"/>
      <c r="AQ58" s="965"/>
      <c r="AT58" s="598"/>
      <c r="AU58" s="645"/>
      <c r="AV58" s="598"/>
      <c r="AW58" s="598"/>
      <c r="AX58" s="598"/>
      <c r="AY58" s="647"/>
      <c r="AZ58" s="646"/>
      <c r="BA58" s="646"/>
      <c r="BB58" s="646"/>
      <c r="BC58" s="598"/>
      <c r="BD58" s="598"/>
      <c r="BE58" s="598"/>
      <c r="BF58" s="598"/>
      <c r="BG58" s="598"/>
      <c r="BH58" s="598"/>
      <c r="BI58" s="598"/>
      <c r="BJ58" s="598"/>
      <c r="BK58" s="598"/>
      <c r="BL58" s="598"/>
      <c r="BM58" s="598"/>
    </row>
    <row r="59" spans="1:106" s="596" customFormat="1" ht="19.5" customHeight="1">
      <c r="A59" s="966" t="str">
        <f>IF(APNATION="","",VLOOKUP(APNATION,NAMETR,5,0))</f>
        <v>Full Name</v>
      </c>
      <c r="B59" s="967"/>
      <c r="C59" s="967"/>
      <c r="D59" s="967"/>
      <c r="E59" s="967"/>
      <c r="F59" s="968"/>
      <c r="G59" s="969"/>
      <c r="H59" s="969"/>
      <c r="I59" s="969"/>
      <c r="J59" s="969"/>
      <c r="K59" s="969"/>
      <c r="L59" s="969"/>
      <c r="M59" s="969"/>
      <c r="N59" s="969"/>
      <c r="O59" s="969"/>
      <c r="P59" s="970"/>
      <c r="Q59" s="971" t="str">
        <f>IF(APNATION="","",VLOOKUP(APNATION,RELATIVEINFO,4,0))</f>
        <v>Date of Birth (Y/M/D)</v>
      </c>
      <c r="R59" s="972"/>
      <c r="S59" s="972"/>
      <c r="T59" s="972"/>
      <c r="U59" s="972"/>
      <c r="V59" s="973"/>
      <c r="W59" s="974"/>
      <c r="X59" s="975"/>
      <c r="Y59" s="975"/>
      <c r="Z59" s="975"/>
      <c r="AA59" s="975"/>
      <c r="AB59" s="975"/>
      <c r="AC59" s="975"/>
      <c r="AD59" s="976"/>
      <c r="AE59" s="977" t="str">
        <f>IF(APNATION="","",VLOOKUP(APNATION,STUDENTINFO,19,0))</f>
        <v>Occupation</v>
      </c>
      <c r="AF59" s="977"/>
      <c r="AG59" s="977"/>
      <c r="AH59" s="977"/>
      <c r="AI59" s="977"/>
      <c r="AJ59" s="978"/>
      <c r="AK59" s="979"/>
      <c r="AL59" s="979"/>
      <c r="AM59" s="979"/>
      <c r="AN59" s="979"/>
      <c r="AO59" s="979"/>
      <c r="AP59" s="979"/>
      <c r="AQ59" s="980"/>
      <c r="AT59" s="619"/>
      <c r="AU59" s="641"/>
      <c r="AV59" s="1"/>
      <c r="AW59" s="1"/>
      <c r="AX59" s="1"/>
      <c r="AY59" s="647"/>
      <c r="AZ59" s="646"/>
      <c r="BA59" s="646"/>
      <c r="BB59" s="646"/>
      <c r="BC59" s="1"/>
      <c r="BD59" s="1"/>
      <c r="BE59" s="1"/>
      <c r="BF59" s="1"/>
      <c r="BG59" s="1"/>
      <c r="BH59" s="1"/>
      <c r="BI59" s="1"/>
      <c r="BJ59" s="1"/>
      <c r="BK59" s="1"/>
      <c r="BL59" s="1"/>
      <c r="BM59" s="1"/>
    </row>
    <row r="60" spans="1:106" s="596" customFormat="1" ht="19.5" customHeight="1">
      <c r="A60" s="939" t="str">
        <f>IF(APNATION="","",VLOOKUP(APNATION,RELATIVEINFO,5,0))</f>
        <v>Relationship</v>
      </c>
      <c r="B60" s="940"/>
      <c r="C60" s="940"/>
      <c r="D60" s="940"/>
      <c r="E60" s="941"/>
      <c r="F60" s="942"/>
      <c r="G60" s="943"/>
      <c r="H60" s="943"/>
      <c r="I60" s="943"/>
      <c r="J60" s="943"/>
      <c r="K60" s="943"/>
      <c r="L60" s="943"/>
      <c r="M60" s="943"/>
      <c r="N60" s="943"/>
      <c r="O60" s="943"/>
      <c r="P60" s="944"/>
      <c r="Q60" s="945" t="str">
        <f>IF(APNATION="","",VLOOKUP(APNATION,RELATIVEINFO,6,0))</f>
        <v>Status of Residence</v>
      </c>
      <c r="R60" s="940"/>
      <c r="S60" s="940"/>
      <c r="T60" s="940"/>
      <c r="U60" s="940"/>
      <c r="V60" s="941"/>
      <c r="W60" s="946"/>
      <c r="X60" s="947"/>
      <c r="Y60" s="947"/>
      <c r="Z60" s="947"/>
      <c r="AA60" s="947"/>
      <c r="AB60" s="947"/>
      <c r="AC60" s="947"/>
      <c r="AD60" s="948"/>
      <c r="AE60" s="949" t="str">
        <f>IF(APNATION="","",VLOOKUP(APNATION,RELATIVEINFO,7,0))</f>
        <v>Intend to live together</v>
      </c>
      <c r="AF60" s="853"/>
      <c r="AG60" s="853"/>
      <c r="AH60" s="853"/>
      <c r="AI60" s="854"/>
      <c r="AJ60" s="950"/>
      <c r="AK60" s="951"/>
      <c r="AL60" s="951"/>
      <c r="AM60" s="951"/>
      <c r="AN60" s="951"/>
      <c r="AO60" s="951"/>
      <c r="AP60" s="951"/>
      <c r="AQ60" s="952"/>
      <c r="AT60" s="644"/>
      <c r="AU60" s="645"/>
      <c r="AV60" s="598"/>
      <c r="AW60" s="598"/>
      <c r="AX60" s="598"/>
      <c r="AY60" s="647"/>
      <c r="AZ60" s="646"/>
      <c r="BA60" s="646"/>
      <c r="BB60" s="646"/>
      <c r="BC60" s="598"/>
      <c r="BD60" s="598"/>
      <c r="BE60" s="598"/>
      <c r="BF60" s="598"/>
      <c r="BG60" s="598"/>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row>
    <row r="61" spans="1:106" ht="19.5" customHeight="1">
      <c r="A61" s="939" t="str">
        <f>IF(APNATION="","",VLOOKUP(APNATION,STUDENTINFO,5,0))</f>
        <v>Nationality</v>
      </c>
      <c r="B61" s="940"/>
      <c r="C61" s="940"/>
      <c r="D61" s="940"/>
      <c r="E61" s="941"/>
      <c r="F61" s="942"/>
      <c r="G61" s="943"/>
      <c r="H61" s="943"/>
      <c r="I61" s="943"/>
      <c r="J61" s="943"/>
      <c r="K61" s="943"/>
      <c r="L61" s="943"/>
      <c r="M61" s="943"/>
      <c r="N61" s="943"/>
      <c r="O61" s="943"/>
      <c r="P61" s="944"/>
      <c r="Q61" s="945" t="str">
        <f>IF(APNATION="","",VLOOKUP(APNATION,RELATIVEINFO,8,0))</f>
        <v>Resident Card Number</v>
      </c>
      <c r="R61" s="940"/>
      <c r="S61" s="940"/>
      <c r="T61" s="940"/>
      <c r="U61" s="940"/>
      <c r="V61" s="941"/>
      <c r="W61" s="946"/>
      <c r="X61" s="947"/>
      <c r="Y61" s="947"/>
      <c r="Z61" s="947"/>
      <c r="AA61" s="947"/>
      <c r="AB61" s="947"/>
      <c r="AC61" s="947"/>
      <c r="AD61" s="948"/>
      <c r="AE61" s="953" t="str">
        <f>IF(APNATION="","",VLOOKUP(APNATION,RELATIVEINFO,9,0))</f>
        <v>Work or School Name</v>
      </c>
      <c r="AF61" s="954"/>
      <c r="AG61" s="954"/>
      <c r="AH61" s="954"/>
      <c r="AI61" s="955"/>
      <c r="AJ61" s="950"/>
      <c r="AK61" s="951"/>
      <c r="AL61" s="951"/>
      <c r="AM61" s="951"/>
      <c r="AN61" s="951"/>
      <c r="AO61" s="951"/>
      <c r="AP61" s="951"/>
      <c r="AQ61" s="952"/>
      <c r="AU61" s="645"/>
      <c r="AV61" s="598"/>
      <c r="AW61" s="598"/>
      <c r="AX61" s="598"/>
      <c r="AY61" s="647"/>
      <c r="AZ61" s="646"/>
      <c r="BA61" s="646"/>
      <c r="BB61" s="646"/>
      <c r="BC61" s="598"/>
      <c r="BD61" s="598"/>
      <c r="BE61" s="598"/>
      <c r="BF61" s="598"/>
      <c r="BG61" s="598"/>
      <c r="BH61" s="598"/>
      <c r="BI61" s="598"/>
    </row>
    <row r="62" spans="1:106" ht="19.5" customHeight="1">
      <c r="A62" s="918" t="str">
        <f>IF(APNATION="","",VLOOKUP(APNATION,STUDENTINFO,20,0))</f>
        <v>Home Address</v>
      </c>
      <c r="B62" s="919"/>
      <c r="C62" s="919"/>
      <c r="D62" s="919"/>
      <c r="E62" s="920"/>
      <c r="F62" s="921"/>
      <c r="G62" s="922"/>
      <c r="H62" s="922"/>
      <c r="I62" s="922"/>
      <c r="J62" s="922"/>
      <c r="K62" s="922"/>
      <c r="L62" s="922"/>
      <c r="M62" s="922"/>
      <c r="N62" s="922"/>
      <c r="O62" s="922"/>
      <c r="P62" s="922"/>
      <c r="Q62" s="922"/>
      <c r="R62" s="922"/>
      <c r="S62" s="922"/>
      <c r="T62" s="922"/>
      <c r="U62" s="922"/>
      <c r="V62" s="922"/>
      <c r="W62" s="922"/>
      <c r="X62" s="922"/>
      <c r="Y62" s="922"/>
      <c r="Z62" s="922"/>
      <c r="AA62" s="922"/>
      <c r="AB62" s="922"/>
      <c r="AC62" s="922"/>
      <c r="AD62" s="923"/>
      <c r="AE62" s="924" t="str">
        <f>IF(APNATION="","",VLOOKUP(APNATION,STUDENTINFO,21,0))</f>
        <v>Telephone Number</v>
      </c>
      <c r="AF62" s="919"/>
      <c r="AG62" s="919"/>
      <c r="AH62" s="919"/>
      <c r="AI62" s="920"/>
      <c r="AJ62" s="925"/>
      <c r="AK62" s="926"/>
      <c r="AL62" s="926"/>
      <c r="AM62" s="926"/>
      <c r="AN62" s="926"/>
      <c r="AO62" s="926"/>
      <c r="AP62" s="926"/>
      <c r="AQ62" s="927"/>
      <c r="AT62" s="598"/>
      <c r="AU62" s="645"/>
      <c r="AV62" s="598"/>
      <c r="AW62" s="598"/>
      <c r="AX62" s="598"/>
      <c r="AY62" s="647"/>
      <c r="AZ62" s="646"/>
      <c r="BA62" s="646"/>
      <c r="BB62" s="646"/>
      <c r="BC62" s="598"/>
      <c r="BD62" s="598"/>
      <c r="BE62" s="598"/>
      <c r="BF62" s="598"/>
      <c r="BG62" s="598"/>
      <c r="BH62" s="598"/>
      <c r="BI62" s="598"/>
      <c r="BJ62" s="598"/>
      <c r="BK62" s="598"/>
      <c r="BL62" s="598"/>
      <c r="BM62" s="598"/>
    </row>
    <row r="63" spans="1:106" ht="22.5" customHeight="1">
      <c r="A63" s="928" t="str">
        <f>IF(APNATION="","",VLOOKUP(APNATION,SPONSORINFO,2,0))</f>
        <v>About the Supporter</v>
      </c>
      <c r="B63" s="928"/>
      <c r="C63" s="928"/>
      <c r="D63" s="928"/>
      <c r="E63" s="928"/>
      <c r="F63" s="928"/>
      <c r="G63" s="928"/>
      <c r="H63" s="928"/>
      <c r="I63" s="928"/>
      <c r="J63" s="928"/>
      <c r="K63" s="928"/>
      <c r="L63" s="928"/>
      <c r="M63" s="928"/>
      <c r="N63" s="928"/>
      <c r="O63" s="928"/>
      <c r="P63" s="928"/>
      <c r="Q63" s="928"/>
      <c r="R63" s="928"/>
      <c r="S63" s="928"/>
      <c r="T63" s="928"/>
      <c r="U63" s="928"/>
      <c r="V63" s="928"/>
      <c r="W63" s="928"/>
      <c r="X63" s="928"/>
      <c r="Y63" s="928"/>
      <c r="Z63" s="928"/>
      <c r="AA63" s="928"/>
      <c r="AB63" s="928"/>
      <c r="AC63" s="928"/>
      <c r="AD63" s="928"/>
      <c r="AE63" s="928"/>
      <c r="AF63" s="928"/>
      <c r="AG63" s="928"/>
      <c r="AH63" s="928"/>
      <c r="AI63" s="928"/>
      <c r="AJ63" s="928"/>
      <c r="AK63" s="928"/>
      <c r="AL63" s="928"/>
      <c r="AM63" s="928"/>
      <c r="AN63" s="928"/>
      <c r="AO63" s="928"/>
      <c r="AP63" s="928"/>
      <c r="AQ63" s="928"/>
      <c r="AT63" s="598"/>
      <c r="AU63" s="645"/>
      <c r="AV63" s="598"/>
      <c r="AW63" s="598"/>
      <c r="AX63" s="598"/>
      <c r="AY63" s="647"/>
      <c r="AZ63" s="646"/>
      <c r="BA63" s="646"/>
      <c r="BB63" s="646"/>
      <c r="BC63" s="598"/>
      <c r="BD63" s="598"/>
      <c r="BE63" s="598"/>
      <c r="BF63" s="598"/>
      <c r="BG63" s="598"/>
      <c r="BH63" s="598"/>
      <c r="BI63" s="598"/>
      <c r="BJ63" s="598"/>
      <c r="BK63" s="598"/>
      <c r="BL63" s="598"/>
      <c r="BM63" s="598"/>
      <c r="BN63" s="598"/>
      <c r="BO63" s="598"/>
      <c r="BP63" s="598"/>
      <c r="BQ63" s="598"/>
      <c r="BR63" s="598"/>
      <c r="BS63" s="598"/>
      <c r="BT63" s="598"/>
      <c r="BU63" s="598"/>
      <c r="BV63" s="598"/>
      <c r="BW63" s="598"/>
      <c r="BX63" s="598"/>
      <c r="BY63" s="598"/>
      <c r="BZ63" s="598"/>
      <c r="CA63" s="598"/>
      <c r="CB63" s="598"/>
      <c r="CC63" s="598"/>
      <c r="CD63" s="598"/>
      <c r="CE63" s="598"/>
      <c r="CF63" s="598"/>
      <c r="CG63" s="598"/>
      <c r="CH63" s="598"/>
      <c r="CI63" s="598"/>
      <c r="CJ63" s="598"/>
      <c r="CK63" s="598"/>
      <c r="CL63" s="598"/>
      <c r="CM63" s="598"/>
      <c r="CN63" s="598"/>
      <c r="CO63" s="598"/>
      <c r="CP63" s="598"/>
      <c r="CQ63" s="598"/>
      <c r="CR63" s="598"/>
      <c r="CS63" s="598"/>
      <c r="CT63" s="598"/>
      <c r="CU63" s="598"/>
      <c r="CV63" s="598"/>
      <c r="CW63" s="598"/>
      <c r="CX63" s="598"/>
      <c r="CY63" s="598"/>
      <c r="CZ63" s="598"/>
      <c r="DA63" s="598"/>
      <c r="DB63" s="598"/>
    </row>
    <row r="64" spans="1:106" s="598" customFormat="1" ht="15" customHeight="1">
      <c r="A64" s="929" t="str">
        <f>IF(APNATION="","",VLOOKUP(APNATION,NAMETR,5,0))</f>
        <v>Full Name</v>
      </c>
      <c r="B64" s="930"/>
      <c r="C64" s="930"/>
      <c r="D64" s="930"/>
      <c r="E64" s="930"/>
      <c r="F64" s="930"/>
      <c r="G64" s="931"/>
      <c r="H64" s="932"/>
      <c r="I64" s="933"/>
      <c r="J64" s="933"/>
      <c r="K64" s="933"/>
      <c r="L64" s="933"/>
      <c r="M64" s="933"/>
      <c r="N64" s="933"/>
      <c r="O64" s="933"/>
      <c r="P64" s="933"/>
      <c r="Q64" s="933"/>
      <c r="R64" s="933"/>
      <c r="S64" s="933"/>
      <c r="T64" s="933"/>
      <c r="U64" s="933"/>
      <c r="V64" s="933"/>
      <c r="W64" s="933"/>
      <c r="X64" s="933"/>
      <c r="Y64" s="933"/>
      <c r="Z64" s="933"/>
      <c r="AA64" s="934"/>
      <c r="AB64" s="935" t="str">
        <f>IF(APNATION="","",VLOOKUP(APNATION,SPONSORINFO,5,0))</f>
        <v>Relationship to Applicant</v>
      </c>
      <c r="AC64" s="935"/>
      <c r="AD64" s="935"/>
      <c r="AE64" s="935"/>
      <c r="AF64" s="935"/>
      <c r="AG64" s="935"/>
      <c r="AH64" s="936"/>
      <c r="AI64" s="937"/>
      <c r="AJ64" s="937"/>
      <c r="AK64" s="937"/>
      <c r="AL64" s="937"/>
      <c r="AM64" s="937"/>
      <c r="AN64" s="937"/>
      <c r="AO64" s="937"/>
      <c r="AP64" s="937"/>
      <c r="AQ64" s="938"/>
      <c r="AU64" s="645"/>
      <c r="AY64" s="647"/>
      <c r="AZ64" s="646"/>
      <c r="BA64" s="646"/>
      <c r="BB64" s="646"/>
    </row>
    <row r="65" spans="1:106" s="598" customFormat="1" ht="15" customHeight="1">
      <c r="A65" s="899" t="str">
        <f>IF(APNATION="","",VLOOKUP(APNATION,STUDENTINFO,5,0))</f>
        <v>Nationality</v>
      </c>
      <c r="B65" s="900"/>
      <c r="C65" s="900"/>
      <c r="D65" s="900"/>
      <c r="E65" s="900"/>
      <c r="F65" s="900"/>
      <c r="G65" s="901"/>
      <c r="H65" s="902"/>
      <c r="I65" s="902"/>
      <c r="J65" s="902"/>
      <c r="K65" s="902"/>
      <c r="L65" s="902"/>
      <c r="M65" s="902"/>
      <c r="N65" s="902"/>
      <c r="O65" s="902"/>
      <c r="P65" s="902"/>
      <c r="Q65" s="903" t="str">
        <f>IF(APNATION="","",VLOOKUP(APNATION,SPONSORINFO,6,0))</f>
        <v>Country of Residence</v>
      </c>
      <c r="R65" s="903"/>
      <c r="S65" s="903"/>
      <c r="T65" s="903"/>
      <c r="U65" s="903"/>
      <c r="V65" s="903"/>
      <c r="W65" s="904"/>
      <c r="X65" s="905"/>
      <c r="Y65" s="905"/>
      <c r="Z65" s="905"/>
      <c r="AA65" s="905"/>
      <c r="AB65" s="906" t="str">
        <f>IF(APNATION="","",VLOOKUP(APNATION,STUDENTINFO,12,0))</f>
        <v>Date of Birth (Y/M/D)</v>
      </c>
      <c r="AC65" s="907"/>
      <c r="AD65" s="907"/>
      <c r="AE65" s="907"/>
      <c r="AF65" s="907"/>
      <c r="AG65" s="908"/>
      <c r="AH65" s="909"/>
      <c r="AI65" s="910"/>
      <c r="AJ65" s="910"/>
      <c r="AK65" s="910"/>
      <c r="AL65" s="910"/>
      <c r="AM65" s="910"/>
      <c r="AN65" s="910"/>
      <c r="AO65" s="910"/>
      <c r="AP65" s="910"/>
      <c r="AQ65" s="911"/>
      <c r="AR65" s="667"/>
      <c r="AS65" s="667"/>
      <c r="AY65" s="647"/>
      <c r="AZ65" s="646"/>
      <c r="BA65" s="646"/>
      <c r="BB65" s="646"/>
    </row>
    <row r="66" spans="1:106" s="598" customFormat="1" ht="15" customHeight="1">
      <c r="A66" s="793" t="str">
        <f>IF(APNATION="","",VLOOKUP(APNATION,STUDENTINFO,20,0))</f>
        <v>Home Address</v>
      </c>
      <c r="B66" s="794"/>
      <c r="C66" s="794"/>
      <c r="D66" s="794"/>
      <c r="E66" s="794"/>
      <c r="F66" s="794"/>
      <c r="G66" s="795"/>
      <c r="H66" s="912" t="str">
        <f>IF(SPONSORNAME="","",VLOOKUP(APNATION,VARIABLES,3,0))</f>
        <v/>
      </c>
      <c r="I66" s="913"/>
      <c r="J66" s="913"/>
      <c r="K66" s="913"/>
      <c r="L66" s="914"/>
      <c r="M66" s="914"/>
      <c r="N66" s="914"/>
      <c r="O66" s="914"/>
      <c r="P66" s="914"/>
      <c r="Q66" s="914"/>
      <c r="R66" s="914"/>
      <c r="S66" s="914"/>
      <c r="T66" s="914"/>
      <c r="U66" s="914"/>
      <c r="V66" s="914"/>
      <c r="W66" s="914"/>
      <c r="X66" s="914"/>
      <c r="Y66" s="914"/>
      <c r="Z66" s="914"/>
      <c r="AA66" s="914"/>
      <c r="AB66" s="914"/>
      <c r="AC66" s="914"/>
      <c r="AD66" s="914"/>
      <c r="AE66" s="914"/>
      <c r="AF66" s="914"/>
      <c r="AG66" s="914"/>
      <c r="AH66" s="914"/>
      <c r="AI66" s="914"/>
      <c r="AJ66" s="914"/>
      <c r="AK66" s="914"/>
      <c r="AL66" s="914"/>
      <c r="AM66" s="914"/>
      <c r="AN66" s="914"/>
      <c r="AO66" s="914"/>
      <c r="AP66" s="914"/>
      <c r="AQ66" s="915"/>
      <c r="AR66" s="667"/>
      <c r="AS66" s="667"/>
      <c r="AY66" s="647"/>
      <c r="AZ66" s="646"/>
      <c r="BA66" s="646"/>
      <c r="BB66" s="646"/>
    </row>
    <row r="67" spans="1:106" s="598" customFormat="1" ht="15" customHeight="1">
      <c r="A67" s="796"/>
      <c r="B67" s="797"/>
      <c r="C67" s="797"/>
      <c r="D67" s="797"/>
      <c r="E67" s="797"/>
      <c r="F67" s="797"/>
      <c r="G67" s="798"/>
      <c r="H67" s="916" t="str">
        <f>IF(SPONSORNAME="","",VLOOKUP(APNATION,VARIABLES,4,0))</f>
        <v/>
      </c>
      <c r="I67" s="797"/>
      <c r="J67" s="797"/>
      <c r="K67" s="797"/>
      <c r="L67" s="917"/>
      <c r="M67" s="914"/>
      <c r="N67" s="914"/>
      <c r="O67" s="914"/>
      <c r="P67" s="914"/>
      <c r="Q67" s="914"/>
      <c r="R67" s="914"/>
      <c r="S67" s="914"/>
      <c r="T67" s="914"/>
      <c r="U67" s="914"/>
      <c r="V67" s="914"/>
      <c r="W67" s="914"/>
      <c r="X67" s="914"/>
      <c r="Y67" s="914"/>
      <c r="Z67" s="914"/>
      <c r="AA67" s="914"/>
      <c r="AB67" s="914"/>
      <c r="AC67" s="914"/>
      <c r="AD67" s="914"/>
      <c r="AE67" s="914"/>
      <c r="AF67" s="914"/>
      <c r="AG67" s="914"/>
      <c r="AH67" s="914"/>
      <c r="AI67" s="914"/>
      <c r="AJ67" s="914"/>
      <c r="AK67" s="914"/>
      <c r="AL67" s="914"/>
      <c r="AM67" s="914"/>
      <c r="AN67" s="914"/>
      <c r="AO67" s="914"/>
      <c r="AP67" s="914"/>
      <c r="AQ67" s="915"/>
      <c r="AY67" s="647"/>
      <c r="AZ67" s="646"/>
      <c r="BA67" s="646"/>
      <c r="BB67" s="646"/>
    </row>
    <row r="68" spans="1:106" s="598" customFormat="1" ht="15" customHeight="1">
      <c r="A68" s="878" t="str">
        <f>IF(APNATION="","",VLOOKUP(APNATION,STUDENTINFO,21,0))</f>
        <v>Telephone Number</v>
      </c>
      <c r="B68" s="879"/>
      <c r="C68" s="879"/>
      <c r="D68" s="879"/>
      <c r="E68" s="879"/>
      <c r="F68" s="879"/>
      <c r="G68" s="880"/>
      <c r="H68" s="881" t="str">
        <f>IF(W65="","",VLOOKUP(W65,NATIONS,3,0))</f>
        <v/>
      </c>
      <c r="I68" s="882"/>
      <c r="J68" s="882"/>
      <c r="K68" s="883"/>
      <c r="L68" s="883"/>
      <c r="M68" s="883"/>
      <c r="N68" s="883"/>
      <c r="O68" s="883"/>
      <c r="P68" s="883"/>
      <c r="Q68" s="883"/>
      <c r="R68" s="883"/>
      <c r="S68" s="883"/>
      <c r="T68" s="884"/>
      <c r="U68" s="885" t="str">
        <f>IF(APNATION="中国","",A68&amp;" 2")</f>
        <v>Telephone Number 2</v>
      </c>
      <c r="V68" s="886"/>
      <c r="W68" s="886"/>
      <c r="X68" s="886"/>
      <c r="Y68" s="886"/>
      <c r="Z68" s="886"/>
      <c r="AA68" s="887"/>
      <c r="AB68" s="881" t="str">
        <f>IF(APNATION="中国","",H68)</f>
        <v/>
      </c>
      <c r="AC68" s="882"/>
      <c r="AD68" s="882"/>
      <c r="AE68" s="883"/>
      <c r="AF68" s="883"/>
      <c r="AG68" s="883"/>
      <c r="AH68" s="883"/>
      <c r="AI68" s="883"/>
      <c r="AJ68" s="883"/>
      <c r="AK68" s="883"/>
      <c r="AL68" s="883"/>
      <c r="AM68" s="883"/>
      <c r="AN68" s="883"/>
      <c r="AO68" s="883"/>
      <c r="AP68" s="883"/>
      <c r="AQ68" s="888"/>
      <c r="AT68" s="7"/>
      <c r="AU68" s="641"/>
      <c r="AV68" s="1"/>
      <c r="AW68" s="1"/>
      <c r="AX68" s="1"/>
      <c r="AY68" s="647"/>
      <c r="AZ68" s="646"/>
      <c r="BA68" s="646"/>
      <c r="BB68" s="646"/>
      <c r="BC68" s="1"/>
      <c r="BD68" s="1"/>
      <c r="BE68" s="1"/>
      <c r="BF68" s="1"/>
      <c r="BG68" s="1"/>
    </row>
    <row r="69" spans="1:106" s="598" customFormat="1" ht="15" customHeight="1">
      <c r="A69" s="889" t="str">
        <f>IF(APNATION="","",VLOOKUP(APNATION,WORKINFO,4,0))</f>
        <v>Workplace / Company Name</v>
      </c>
      <c r="B69" s="890"/>
      <c r="C69" s="890"/>
      <c r="D69" s="890"/>
      <c r="E69" s="890"/>
      <c r="F69" s="890"/>
      <c r="G69" s="891"/>
      <c r="H69" s="892"/>
      <c r="I69" s="893"/>
      <c r="J69" s="893"/>
      <c r="K69" s="893"/>
      <c r="L69" s="893"/>
      <c r="M69" s="893"/>
      <c r="N69" s="893"/>
      <c r="O69" s="893"/>
      <c r="P69" s="893"/>
      <c r="Q69" s="893"/>
      <c r="R69" s="893"/>
      <c r="S69" s="893"/>
      <c r="T69" s="893"/>
      <c r="U69" s="893"/>
      <c r="V69" s="893"/>
      <c r="W69" s="893"/>
      <c r="X69" s="893"/>
      <c r="Y69" s="893"/>
      <c r="Z69" s="893"/>
      <c r="AA69" s="893"/>
      <c r="AB69" s="893"/>
      <c r="AC69" s="893"/>
      <c r="AD69" s="893"/>
      <c r="AE69" s="893"/>
      <c r="AF69" s="893"/>
      <c r="AG69" s="893"/>
      <c r="AH69" s="893"/>
      <c r="AI69" s="893"/>
      <c r="AJ69" s="893"/>
      <c r="AK69" s="893"/>
      <c r="AL69" s="893"/>
      <c r="AM69" s="893"/>
      <c r="AN69" s="893"/>
      <c r="AO69" s="893"/>
      <c r="AP69" s="893"/>
      <c r="AQ69" s="894"/>
      <c r="AT69" s="7"/>
      <c r="AU69" s="641"/>
      <c r="AV69" s="1"/>
      <c r="AW69" s="1"/>
      <c r="AX69" s="1"/>
      <c r="AY69" s="647"/>
      <c r="AZ69" s="646"/>
      <c r="BA69" s="646"/>
      <c r="BB69" s="646"/>
      <c r="BC69" s="1"/>
      <c r="BD69" s="1"/>
      <c r="BE69" s="1"/>
      <c r="BF69" s="1"/>
      <c r="BG69" s="1"/>
      <c r="BH69" s="1"/>
      <c r="BI69" s="1"/>
    </row>
    <row r="70" spans="1:106" s="598" customFormat="1" ht="15" customHeight="1">
      <c r="A70" s="895" t="str">
        <f>IF(APNATION="","",VLOOKUP(APNATION,WORKINFO,5,0))</f>
        <v>Work Address</v>
      </c>
      <c r="B70" s="896"/>
      <c r="C70" s="896"/>
      <c r="D70" s="896"/>
      <c r="E70" s="896"/>
      <c r="F70" s="896"/>
      <c r="G70" s="897"/>
      <c r="H70" s="855"/>
      <c r="I70" s="856"/>
      <c r="J70" s="856"/>
      <c r="K70" s="856"/>
      <c r="L70" s="856"/>
      <c r="M70" s="856"/>
      <c r="N70" s="856"/>
      <c r="O70" s="856"/>
      <c r="P70" s="856"/>
      <c r="Q70" s="856"/>
      <c r="R70" s="856"/>
      <c r="S70" s="856"/>
      <c r="T70" s="856"/>
      <c r="U70" s="856"/>
      <c r="V70" s="856"/>
      <c r="W70" s="856"/>
      <c r="X70" s="856"/>
      <c r="Y70" s="856"/>
      <c r="Z70" s="856"/>
      <c r="AA70" s="856"/>
      <c r="AB70" s="856"/>
      <c r="AC70" s="856"/>
      <c r="AD70" s="856"/>
      <c r="AE70" s="856"/>
      <c r="AF70" s="856"/>
      <c r="AG70" s="856"/>
      <c r="AH70" s="856"/>
      <c r="AI70" s="856"/>
      <c r="AJ70" s="856"/>
      <c r="AK70" s="856"/>
      <c r="AL70" s="856"/>
      <c r="AM70" s="856"/>
      <c r="AN70" s="856"/>
      <c r="AO70" s="856"/>
      <c r="AP70" s="856"/>
      <c r="AQ70" s="898"/>
      <c r="AT70" s="7"/>
      <c r="AU70" s="641"/>
      <c r="AV70" s="1"/>
      <c r="AW70" s="1"/>
      <c r="AX70" s="1"/>
      <c r="AY70" s="647"/>
      <c r="AZ70" s="646"/>
      <c r="BA70" s="646"/>
      <c r="BB70" s="646"/>
      <c r="BC70" s="1"/>
      <c r="BD70" s="1"/>
      <c r="BE70" s="1"/>
      <c r="BF70" s="1"/>
      <c r="BG70" s="1"/>
      <c r="BH70" s="1"/>
      <c r="BI70" s="1"/>
      <c r="BJ70" s="1"/>
      <c r="BK70" s="1"/>
      <c r="BL70" s="1"/>
      <c r="BM70" s="1"/>
    </row>
    <row r="71" spans="1:106" s="598" customFormat="1" ht="15" customHeight="1">
      <c r="A71" s="852" t="str">
        <f>IF(APNATION="","",VLOOKUP(APNATION,SPONSORINFO,9,0))</f>
        <v>Business Type / Industry</v>
      </c>
      <c r="B71" s="853"/>
      <c r="C71" s="853"/>
      <c r="D71" s="853"/>
      <c r="E71" s="853"/>
      <c r="F71" s="853"/>
      <c r="G71" s="854"/>
      <c r="H71" s="855"/>
      <c r="I71" s="856"/>
      <c r="J71" s="856"/>
      <c r="K71" s="856"/>
      <c r="L71" s="856"/>
      <c r="M71" s="856"/>
      <c r="N71" s="856"/>
      <c r="O71" s="856"/>
      <c r="P71" s="856"/>
      <c r="Q71" s="856"/>
      <c r="R71" s="856"/>
      <c r="S71" s="856"/>
      <c r="T71" s="857"/>
      <c r="U71" s="858" t="str">
        <f>IF(APNATION="","",VLOOKUP(APNATION,SPONSORINFO,10,0))</f>
        <v>Work Telephone Number</v>
      </c>
      <c r="V71" s="859"/>
      <c r="W71" s="859"/>
      <c r="X71" s="859"/>
      <c r="Y71" s="859"/>
      <c r="Z71" s="859"/>
      <c r="AA71" s="860"/>
      <c r="AB71" s="861" t="str">
        <f>IF(W65="","",VLOOKUP(W65,NATIONS,3,0))</f>
        <v/>
      </c>
      <c r="AC71" s="862"/>
      <c r="AD71" s="862"/>
      <c r="AE71" s="863"/>
      <c r="AF71" s="863"/>
      <c r="AG71" s="863"/>
      <c r="AH71" s="863"/>
      <c r="AI71" s="863"/>
      <c r="AJ71" s="863"/>
      <c r="AK71" s="863"/>
      <c r="AL71" s="863"/>
      <c r="AM71" s="863"/>
      <c r="AN71" s="863"/>
      <c r="AO71" s="863"/>
      <c r="AP71" s="863"/>
      <c r="AQ71" s="864"/>
      <c r="AT71" s="7"/>
      <c r="AU71" s="641"/>
      <c r="AV71" s="1"/>
      <c r="AW71" s="1"/>
      <c r="AX71" s="1"/>
      <c r="AY71" s="647"/>
      <c r="AZ71" s="646"/>
      <c r="BA71" s="646"/>
      <c r="BB71" s="646"/>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row>
    <row r="72" spans="1:106" ht="15" customHeight="1">
      <c r="A72" s="865" t="str">
        <f>IF(APNATION="","",VLOOKUP(APNATION,SPONSORINFO,11,0))</f>
        <v>Position at Company</v>
      </c>
      <c r="B72" s="866"/>
      <c r="C72" s="866"/>
      <c r="D72" s="866"/>
      <c r="E72" s="866"/>
      <c r="F72" s="866"/>
      <c r="G72" s="867"/>
      <c r="H72" s="868"/>
      <c r="I72" s="869"/>
      <c r="J72" s="869"/>
      <c r="K72" s="869"/>
      <c r="L72" s="869"/>
      <c r="M72" s="869"/>
      <c r="N72" s="869"/>
      <c r="O72" s="869"/>
      <c r="P72" s="869"/>
      <c r="Q72" s="869"/>
      <c r="R72" s="869"/>
      <c r="S72" s="869"/>
      <c r="T72" s="870"/>
      <c r="U72" s="871" t="str">
        <f>IF(APNATION="","",VLOOKUP(APNATION,SPONSORINFO,12,0))</f>
        <v>Annual Income</v>
      </c>
      <c r="V72" s="872"/>
      <c r="W72" s="872"/>
      <c r="X72" s="872"/>
      <c r="Y72" s="872"/>
      <c r="Z72" s="872"/>
      <c r="AA72" s="873"/>
      <c r="AB72" s="874" t="str">
        <f>IF(W65="","",VLOOKUP(W65,NATIONS,4,0))</f>
        <v/>
      </c>
      <c r="AC72" s="875"/>
      <c r="AD72" s="875"/>
      <c r="AE72" s="876"/>
      <c r="AF72" s="876"/>
      <c r="AG72" s="876"/>
      <c r="AH72" s="876"/>
      <c r="AI72" s="876"/>
      <c r="AJ72" s="876"/>
      <c r="AK72" s="876"/>
      <c r="AL72" s="876"/>
      <c r="AM72" s="876"/>
      <c r="AN72" s="876"/>
      <c r="AO72" s="876"/>
      <c r="AP72" s="876"/>
      <c r="AQ72" s="877"/>
      <c r="AT72" s="619"/>
      <c r="AU72" s="641"/>
      <c r="AY72" s="647"/>
      <c r="AZ72" s="646"/>
      <c r="BA72" s="646"/>
      <c r="BB72" s="646"/>
    </row>
    <row r="73" spans="1:106" ht="22.5" customHeight="1">
      <c r="A73" s="840" t="str">
        <f>IF(APNATION="","",VLOOKUP(APNATION,FAMILYINFO,2,0))</f>
        <v>Please enter the information about the applicant's family members</v>
      </c>
      <c r="B73" s="840"/>
      <c r="C73" s="840"/>
      <c r="D73" s="840"/>
      <c r="E73" s="840"/>
      <c r="F73" s="840"/>
      <c r="G73" s="840"/>
      <c r="H73" s="840"/>
      <c r="I73" s="840"/>
      <c r="J73" s="840"/>
      <c r="K73" s="840"/>
      <c r="L73" s="840"/>
      <c r="M73" s="840"/>
      <c r="N73" s="840"/>
      <c r="O73" s="840"/>
      <c r="P73" s="840"/>
      <c r="Q73" s="840"/>
      <c r="R73" s="840"/>
      <c r="S73" s="840"/>
      <c r="T73" s="840"/>
      <c r="U73" s="840"/>
      <c r="V73" s="840"/>
      <c r="W73" s="840"/>
      <c r="X73" s="840"/>
      <c r="Y73" s="840"/>
      <c r="Z73" s="840"/>
      <c r="AA73" s="840"/>
      <c r="AB73" s="840"/>
      <c r="AC73" s="840"/>
      <c r="AD73" s="840"/>
      <c r="AE73" s="840"/>
      <c r="AF73" s="840"/>
      <c r="AG73" s="840"/>
      <c r="AH73" s="840"/>
      <c r="AI73" s="840"/>
      <c r="AJ73" s="840"/>
      <c r="AK73" s="840"/>
      <c r="AL73" s="840"/>
      <c r="AM73" s="840"/>
      <c r="AN73" s="840"/>
      <c r="AO73" s="840"/>
      <c r="AP73" s="840"/>
      <c r="AQ73" s="840"/>
      <c r="AT73" s="619"/>
      <c r="AU73" s="641"/>
      <c r="AY73" s="647"/>
      <c r="AZ73" s="646"/>
      <c r="BA73" s="646"/>
      <c r="BB73" s="646"/>
    </row>
    <row r="74" spans="1:106" ht="26.25" customHeight="1">
      <c r="A74" s="841" t="str">
        <f>IF(APNATION="","",VLOOKUP(APNATION,FAMILYINFO,3,0))</f>
        <v>Relationship</v>
      </c>
      <c r="B74" s="842"/>
      <c r="C74" s="843"/>
      <c r="D74" s="844" t="str">
        <f>IF(APNATION="","",VLOOKUP(APNATION,NAMETR,5,0))</f>
        <v>Full Name</v>
      </c>
      <c r="E74" s="845"/>
      <c r="F74" s="845"/>
      <c r="G74" s="845"/>
      <c r="H74" s="845"/>
      <c r="I74" s="845"/>
      <c r="J74" s="845"/>
      <c r="K74" s="845"/>
      <c r="L74" s="845"/>
      <c r="M74" s="846"/>
      <c r="N74" s="844" t="str">
        <f>IF(APNATION="","",VLOOKUP(APNATION,STUDENTINFO,12,0))</f>
        <v>Date of Birth (Y/M/D)</v>
      </c>
      <c r="O74" s="845"/>
      <c r="P74" s="845"/>
      <c r="Q74" s="846"/>
      <c r="R74" s="844" t="str">
        <f>IF(APNATION="","",VLOOKUP(APNATION,STUDENTINFO,19,0))</f>
        <v>Occupation</v>
      </c>
      <c r="S74" s="845"/>
      <c r="T74" s="845"/>
      <c r="U74" s="845"/>
      <c r="V74" s="846"/>
      <c r="W74" s="844" t="str">
        <f>IF(APNATION="","",VLOOKUP(APNATION,STUDENTINFO,20,0))</f>
        <v>Home Address</v>
      </c>
      <c r="X74" s="845"/>
      <c r="Y74" s="845"/>
      <c r="Z74" s="845"/>
      <c r="AA74" s="845"/>
      <c r="AB74" s="845"/>
      <c r="AC74" s="845"/>
      <c r="AD74" s="845"/>
      <c r="AE74" s="845"/>
      <c r="AF74" s="845"/>
      <c r="AG74" s="845"/>
      <c r="AH74" s="845"/>
      <c r="AI74" s="845"/>
      <c r="AJ74" s="845"/>
      <c r="AK74" s="845"/>
      <c r="AL74" s="845"/>
      <c r="AM74" s="845"/>
      <c r="AN74" s="845"/>
      <c r="AO74" s="845"/>
      <c r="AP74" s="845"/>
      <c r="AQ74" s="847"/>
      <c r="AZ74" s="66"/>
      <c r="BA74" s="646"/>
      <c r="BB74" s="646"/>
    </row>
    <row r="75" spans="1:106" ht="15" customHeight="1">
      <c r="A75" s="755">
        <f>SPONSORRELATIONSHIP</f>
        <v>0</v>
      </c>
      <c r="B75" s="756"/>
      <c r="C75" s="757"/>
      <c r="D75" s="764">
        <f>SPONSORNAME</f>
        <v>0</v>
      </c>
      <c r="E75" s="765"/>
      <c r="F75" s="765"/>
      <c r="G75" s="765"/>
      <c r="H75" s="765"/>
      <c r="I75" s="765"/>
      <c r="J75" s="765"/>
      <c r="K75" s="765"/>
      <c r="L75" s="765"/>
      <c r="M75" s="766"/>
      <c r="N75" s="787" t="str">
        <f>IF(ISBLANK(SPONSORDOB)," ",SPONSORDOB)</f>
        <v xml:space="preserve"> </v>
      </c>
      <c r="O75" s="788"/>
      <c r="P75" s="788"/>
      <c r="Q75" s="789"/>
      <c r="R75" s="805">
        <f>SPONSORJOB</f>
        <v>0</v>
      </c>
      <c r="S75" s="806"/>
      <c r="T75" s="806"/>
      <c r="U75" s="806"/>
      <c r="V75" s="807"/>
      <c r="W75" s="834" t="str">
        <f>IF(SPONSORNAME="","",VLOOKUP(APNATION,VARIABLES,3,0))</f>
        <v/>
      </c>
      <c r="X75" s="835"/>
      <c r="Y75" s="835"/>
      <c r="Z75" s="848">
        <f>L66</f>
        <v>0</v>
      </c>
      <c r="AA75" s="848"/>
      <c r="AB75" s="848"/>
      <c r="AC75" s="848"/>
      <c r="AD75" s="848"/>
      <c r="AE75" s="848"/>
      <c r="AF75" s="848"/>
      <c r="AG75" s="848"/>
      <c r="AH75" s="848"/>
      <c r="AI75" s="848"/>
      <c r="AJ75" s="848"/>
      <c r="AK75" s="848"/>
      <c r="AL75" s="848"/>
      <c r="AM75" s="848"/>
      <c r="AN75" s="848"/>
      <c r="AO75" s="848"/>
      <c r="AP75" s="848"/>
      <c r="AQ75" s="849"/>
      <c r="AZ75" s="66"/>
      <c r="BA75" s="646"/>
      <c r="BB75" s="646"/>
    </row>
    <row r="76" spans="1:106" ht="15" customHeight="1">
      <c r="A76" s="758"/>
      <c r="B76" s="759"/>
      <c r="C76" s="760"/>
      <c r="D76" s="767"/>
      <c r="E76" s="768"/>
      <c r="F76" s="768"/>
      <c r="G76" s="768"/>
      <c r="H76" s="768"/>
      <c r="I76" s="768"/>
      <c r="J76" s="768"/>
      <c r="K76" s="768"/>
      <c r="L76" s="768"/>
      <c r="M76" s="769"/>
      <c r="N76" s="790"/>
      <c r="O76" s="791"/>
      <c r="P76" s="791"/>
      <c r="Q76" s="792"/>
      <c r="R76" s="808"/>
      <c r="S76" s="809"/>
      <c r="T76" s="809"/>
      <c r="U76" s="809"/>
      <c r="V76" s="810"/>
      <c r="W76" s="830" t="str">
        <f>IF(SPONSORNAME="","",VLOOKUP(APNATION,VARIABLES,4,0))</f>
        <v/>
      </c>
      <c r="X76" s="831"/>
      <c r="Y76" s="831"/>
      <c r="Z76" s="850">
        <f>L67</f>
        <v>0</v>
      </c>
      <c r="AA76" s="850"/>
      <c r="AB76" s="850"/>
      <c r="AC76" s="850"/>
      <c r="AD76" s="850"/>
      <c r="AE76" s="850"/>
      <c r="AF76" s="850"/>
      <c r="AG76" s="850"/>
      <c r="AH76" s="850"/>
      <c r="AI76" s="850"/>
      <c r="AJ76" s="850"/>
      <c r="AK76" s="850"/>
      <c r="AL76" s="850"/>
      <c r="AM76" s="850"/>
      <c r="AN76" s="850"/>
      <c r="AO76" s="850"/>
      <c r="AP76" s="850"/>
      <c r="AQ76" s="851"/>
      <c r="AR76" s="630"/>
      <c r="AZ76" s="66"/>
      <c r="BA76" s="646"/>
      <c r="BB76" s="646"/>
    </row>
    <row r="77" spans="1:106" ht="15" customHeight="1">
      <c r="A77" s="799" t="str">
        <f>IFERROR(IF(A75="","",VLOOKUP(A75,SPONSORTRANSLATION,4,0)),"")</f>
        <v/>
      </c>
      <c r="B77" s="800"/>
      <c r="C77" s="801"/>
      <c r="D77" s="770"/>
      <c r="E77" s="705"/>
      <c r="F77" s="705"/>
      <c r="G77" s="705"/>
      <c r="H77" s="705"/>
      <c r="I77" s="705"/>
      <c r="J77" s="705"/>
      <c r="K77" s="705"/>
      <c r="L77" s="705"/>
      <c r="M77" s="706"/>
      <c r="N77" s="710"/>
      <c r="O77" s="711"/>
      <c r="P77" s="711"/>
      <c r="Q77" s="712"/>
      <c r="R77" s="716"/>
      <c r="S77" s="717"/>
      <c r="T77" s="717"/>
      <c r="U77" s="717"/>
      <c r="V77" s="718"/>
      <c r="W77" s="826" t="str">
        <f>IF(FAMILY2NAME="","",VLOOKUP(APNATION,VARIABLES,3,0))</f>
        <v/>
      </c>
      <c r="X77" s="827"/>
      <c r="Y77" s="827"/>
      <c r="Z77" s="828"/>
      <c r="AA77" s="828"/>
      <c r="AB77" s="828"/>
      <c r="AC77" s="828"/>
      <c r="AD77" s="828"/>
      <c r="AE77" s="828"/>
      <c r="AF77" s="828"/>
      <c r="AG77" s="828"/>
      <c r="AH77" s="828"/>
      <c r="AI77" s="828"/>
      <c r="AJ77" s="828"/>
      <c r="AK77" s="828"/>
      <c r="AL77" s="828"/>
      <c r="AM77" s="828"/>
      <c r="AN77" s="828"/>
      <c r="AO77" s="828"/>
      <c r="AP77" s="828"/>
      <c r="AQ77" s="829"/>
      <c r="AR77" s="630"/>
      <c r="AZ77" s="66"/>
      <c r="BA77" s="646"/>
      <c r="BB77" s="646"/>
    </row>
    <row r="78" spans="1:106" ht="15" customHeight="1">
      <c r="A78" s="802"/>
      <c r="B78" s="803"/>
      <c r="C78" s="804"/>
      <c r="D78" s="707"/>
      <c r="E78" s="708"/>
      <c r="F78" s="708"/>
      <c r="G78" s="708"/>
      <c r="H78" s="708"/>
      <c r="I78" s="708"/>
      <c r="J78" s="708"/>
      <c r="K78" s="708"/>
      <c r="L78" s="708"/>
      <c r="M78" s="709"/>
      <c r="N78" s="713"/>
      <c r="O78" s="714"/>
      <c r="P78" s="714"/>
      <c r="Q78" s="715"/>
      <c r="R78" s="719"/>
      <c r="S78" s="720"/>
      <c r="T78" s="720"/>
      <c r="U78" s="720"/>
      <c r="V78" s="721"/>
      <c r="W78" s="830" t="str">
        <f>IF(FAMILY2NAME="","",VLOOKUP(APNATION,VARIABLES,4,0))</f>
        <v/>
      </c>
      <c r="X78" s="831"/>
      <c r="Y78" s="831"/>
      <c r="Z78" s="839"/>
      <c r="AA78" s="832"/>
      <c r="AB78" s="832"/>
      <c r="AC78" s="832"/>
      <c r="AD78" s="832"/>
      <c r="AE78" s="832"/>
      <c r="AF78" s="832"/>
      <c r="AG78" s="832"/>
      <c r="AH78" s="832"/>
      <c r="AI78" s="832"/>
      <c r="AJ78" s="832"/>
      <c r="AK78" s="832"/>
      <c r="AL78" s="832"/>
      <c r="AM78" s="832"/>
      <c r="AN78" s="832"/>
      <c r="AO78" s="832"/>
      <c r="AP78" s="832"/>
      <c r="AQ78" s="833"/>
      <c r="AR78" s="630"/>
      <c r="AZ78" s="66"/>
      <c r="BA78" s="646"/>
      <c r="BB78" s="646"/>
    </row>
    <row r="79" spans="1:106" ht="15" customHeight="1">
      <c r="A79" s="698"/>
      <c r="B79" s="699"/>
      <c r="C79" s="700"/>
      <c r="D79" s="770"/>
      <c r="E79" s="705"/>
      <c r="F79" s="705"/>
      <c r="G79" s="705"/>
      <c r="H79" s="705"/>
      <c r="I79" s="705"/>
      <c r="J79" s="705"/>
      <c r="K79" s="705"/>
      <c r="L79" s="705"/>
      <c r="M79" s="706"/>
      <c r="N79" s="710"/>
      <c r="O79" s="711"/>
      <c r="P79" s="711"/>
      <c r="Q79" s="712"/>
      <c r="R79" s="761"/>
      <c r="S79" s="762"/>
      <c r="T79" s="762"/>
      <c r="U79" s="762"/>
      <c r="V79" s="763"/>
      <c r="W79" s="826" t="str">
        <f>IF(FAMILY4RELATIONSHIP="","",VLOOKUP(APNATION,VARIABLES,3,0))</f>
        <v/>
      </c>
      <c r="X79" s="827"/>
      <c r="Y79" s="827"/>
      <c r="Z79" s="828"/>
      <c r="AA79" s="828"/>
      <c r="AB79" s="828"/>
      <c r="AC79" s="828"/>
      <c r="AD79" s="828"/>
      <c r="AE79" s="828"/>
      <c r="AF79" s="828"/>
      <c r="AG79" s="828"/>
      <c r="AH79" s="828"/>
      <c r="AI79" s="828"/>
      <c r="AJ79" s="828"/>
      <c r="AK79" s="828"/>
      <c r="AL79" s="828"/>
      <c r="AM79" s="828"/>
      <c r="AN79" s="828"/>
      <c r="AO79" s="828"/>
      <c r="AP79" s="828"/>
      <c r="AQ79" s="829"/>
      <c r="AR79" s="630"/>
      <c r="AZ79" s="66"/>
      <c r="BA79" s="646"/>
      <c r="BB79" s="646"/>
    </row>
    <row r="80" spans="1:106" ht="15" customHeight="1">
      <c r="A80" s="701"/>
      <c r="B80" s="702"/>
      <c r="C80" s="703"/>
      <c r="D80" s="707"/>
      <c r="E80" s="708"/>
      <c r="F80" s="708"/>
      <c r="G80" s="708"/>
      <c r="H80" s="708"/>
      <c r="I80" s="708"/>
      <c r="J80" s="708"/>
      <c r="K80" s="708"/>
      <c r="L80" s="708"/>
      <c r="M80" s="709"/>
      <c r="N80" s="713"/>
      <c r="O80" s="714"/>
      <c r="P80" s="714"/>
      <c r="Q80" s="715"/>
      <c r="R80" s="761"/>
      <c r="S80" s="762"/>
      <c r="T80" s="762"/>
      <c r="U80" s="762"/>
      <c r="V80" s="763"/>
      <c r="W80" s="830" t="str">
        <f>IF(FAMILY4RELATIONSHIP="","",VLOOKUP(APNATION,VARIABLES,4,0))</f>
        <v/>
      </c>
      <c r="X80" s="831"/>
      <c r="Y80" s="831"/>
      <c r="Z80" s="838"/>
      <c r="AA80" s="832"/>
      <c r="AB80" s="832"/>
      <c r="AC80" s="832"/>
      <c r="AD80" s="832"/>
      <c r="AE80" s="832"/>
      <c r="AF80" s="832"/>
      <c r="AG80" s="832"/>
      <c r="AH80" s="832"/>
      <c r="AI80" s="832"/>
      <c r="AJ80" s="832"/>
      <c r="AK80" s="832"/>
      <c r="AL80" s="832"/>
      <c r="AM80" s="832"/>
      <c r="AN80" s="832"/>
      <c r="AO80" s="832"/>
      <c r="AP80" s="832"/>
      <c r="AQ80" s="833"/>
      <c r="AR80" s="596"/>
      <c r="AZ80" s="66"/>
      <c r="BA80" s="646"/>
      <c r="BB80" s="646"/>
    </row>
    <row r="81" spans="1:54" ht="15" customHeight="1">
      <c r="A81" s="698"/>
      <c r="B81" s="699"/>
      <c r="C81" s="700"/>
      <c r="D81" s="704"/>
      <c r="E81" s="705"/>
      <c r="F81" s="705"/>
      <c r="G81" s="705"/>
      <c r="H81" s="705"/>
      <c r="I81" s="705"/>
      <c r="J81" s="705"/>
      <c r="K81" s="705"/>
      <c r="L81" s="705"/>
      <c r="M81" s="706"/>
      <c r="N81" s="710"/>
      <c r="O81" s="711"/>
      <c r="P81" s="711"/>
      <c r="Q81" s="712"/>
      <c r="R81" s="716"/>
      <c r="S81" s="717"/>
      <c r="T81" s="717"/>
      <c r="U81" s="717"/>
      <c r="V81" s="718"/>
      <c r="W81" s="826" t="str">
        <f>IF(FAMILY5RELATIONSHIP="","",VLOOKUP(APNATION,VARIABLES,3,0))</f>
        <v/>
      </c>
      <c r="X81" s="827"/>
      <c r="Y81" s="827"/>
      <c r="Z81" s="828"/>
      <c r="AA81" s="828"/>
      <c r="AB81" s="828"/>
      <c r="AC81" s="828"/>
      <c r="AD81" s="828"/>
      <c r="AE81" s="828"/>
      <c r="AF81" s="828"/>
      <c r="AG81" s="828"/>
      <c r="AH81" s="828"/>
      <c r="AI81" s="828"/>
      <c r="AJ81" s="828"/>
      <c r="AK81" s="828"/>
      <c r="AL81" s="828"/>
      <c r="AM81" s="828"/>
      <c r="AN81" s="828"/>
      <c r="AO81" s="828"/>
      <c r="AP81" s="828"/>
      <c r="AQ81" s="829"/>
      <c r="AR81" s="596"/>
      <c r="AZ81" s="66"/>
      <c r="BA81" s="646"/>
      <c r="BB81" s="646"/>
    </row>
    <row r="82" spans="1:54" ht="15" customHeight="1">
      <c r="A82" s="701"/>
      <c r="B82" s="702"/>
      <c r="C82" s="703"/>
      <c r="D82" s="707"/>
      <c r="E82" s="708"/>
      <c r="F82" s="708"/>
      <c r="G82" s="708"/>
      <c r="H82" s="708"/>
      <c r="I82" s="708"/>
      <c r="J82" s="708"/>
      <c r="K82" s="708"/>
      <c r="L82" s="708"/>
      <c r="M82" s="709"/>
      <c r="N82" s="713"/>
      <c r="O82" s="714"/>
      <c r="P82" s="714"/>
      <c r="Q82" s="715"/>
      <c r="R82" s="719"/>
      <c r="S82" s="720"/>
      <c r="T82" s="720"/>
      <c r="U82" s="720"/>
      <c r="V82" s="721"/>
      <c r="W82" s="830" t="str">
        <f>IF(FAMILY5RELATIONSHIP="","",VLOOKUP(APNATION,VARIABLES,4,0))</f>
        <v/>
      </c>
      <c r="X82" s="831"/>
      <c r="Y82" s="831"/>
      <c r="Z82" s="838"/>
      <c r="AA82" s="832"/>
      <c r="AB82" s="832"/>
      <c r="AC82" s="832"/>
      <c r="AD82" s="832"/>
      <c r="AE82" s="832"/>
      <c r="AF82" s="832"/>
      <c r="AG82" s="832"/>
      <c r="AH82" s="832"/>
      <c r="AI82" s="832"/>
      <c r="AJ82" s="832"/>
      <c r="AK82" s="832"/>
      <c r="AL82" s="832"/>
      <c r="AM82" s="832"/>
      <c r="AN82" s="832"/>
      <c r="AO82" s="832"/>
      <c r="AP82" s="832"/>
      <c r="AQ82" s="833"/>
      <c r="AR82" s="596"/>
      <c r="AZ82" s="66"/>
      <c r="BA82" s="646"/>
      <c r="BB82" s="646"/>
    </row>
    <row r="83" spans="1:54" ht="15" customHeight="1">
      <c r="A83" s="698"/>
      <c r="B83" s="699"/>
      <c r="C83" s="700"/>
      <c r="D83" s="704"/>
      <c r="E83" s="705"/>
      <c r="F83" s="705"/>
      <c r="G83" s="705"/>
      <c r="H83" s="705"/>
      <c r="I83" s="705"/>
      <c r="J83" s="705"/>
      <c r="K83" s="705"/>
      <c r="L83" s="705"/>
      <c r="M83" s="706"/>
      <c r="N83" s="710"/>
      <c r="O83" s="711"/>
      <c r="P83" s="711"/>
      <c r="Q83" s="712"/>
      <c r="R83" s="716"/>
      <c r="S83" s="717"/>
      <c r="T83" s="717"/>
      <c r="U83" s="717"/>
      <c r="V83" s="718"/>
      <c r="W83" s="826" t="str">
        <f>IF(FAMILY6RELATIONSHIP="","",VLOOKUP(APNATION,VARIABLES,3,0))</f>
        <v/>
      </c>
      <c r="X83" s="827"/>
      <c r="Y83" s="827"/>
      <c r="Z83" s="828"/>
      <c r="AA83" s="828"/>
      <c r="AB83" s="828"/>
      <c r="AC83" s="828"/>
      <c r="AD83" s="828"/>
      <c r="AE83" s="828"/>
      <c r="AF83" s="828"/>
      <c r="AG83" s="828"/>
      <c r="AH83" s="828"/>
      <c r="AI83" s="828"/>
      <c r="AJ83" s="828"/>
      <c r="AK83" s="828"/>
      <c r="AL83" s="828"/>
      <c r="AM83" s="828"/>
      <c r="AN83" s="828"/>
      <c r="AO83" s="828"/>
      <c r="AP83" s="828"/>
      <c r="AQ83" s="829"/>
      <c r="AR83" s="596"/>
      <c r="AZ83" s="66"/>
      <c r="BA83" s="646"/>
      <c r="BB83" s="646"/>
    </row>
    <row r="84" spans="1:54" ht="15" customHeight="1">
      <c r="A84" s="701"/>
      <c r="B84" s="702"/>
      <c r="C84" s="703"/>
      <c r="D84" s="707"/>
      <c r="E84" s="708"/>
      <c r="F84" s="708"/>
      <c r="G84" s="708"/>
      <c r="H84" s="708"/>
      <c r="I84" s="708"/>
      <c r="J84" s="708"/>
      <c r="K84" s="708"/>
      <c r="L84" s="708"/>
      <c r="M84" s="709"/>
      <c r="N84" s="713"/>
      <c r="O84" s="714"/>
      <c r="P84" s="714"/>
      <c r="Q84" s="715"/>
      <c r="R84" s="719"/>
      <c r="S84" s="720"/>
      <c r="T84" s="720"/>
      <c r="U84" s="720"/>
      <c r="V84" s="721"/>
      <c r="W84" s="830" t="str">
        <f>IF(FAMILY6RELATIONSHIP="","",VLOOKUP(APNATION,VARIABLES,4,0))</f>
        <v/>
      </c>
      <c r="X84" s="831"/>
      <c r="Y84" s="831"/>
      <c r="Z84" s="832"/>
      <c r="AA84" s="832"/>
      <c r="AB84" s="832"/>
      <c r="AC84" s="832"/>
      <c r="AD84" s="832"/>
      <c r="AE84" s="832"/>
      <c r="AF84" s="832"/>
      <c r="AG84" s="832"/>
      <c r="AH84" s="832"/>
      <c r="AI84" s="832"/>
      <c r="AJ84" s="832"/>
      <c r="AK84" s="832"/>
      <c r="AL84" s="832"/>
      <c r="AM84" s="832"/>
      <c r="AN84" s="832"/>
      <c r="AO84" s="832"/>
      <c r="AP84" s="832"/>
      <c r="AQ84" s="833"/>
      <c r="AR84" s="619"/>
      <c r="AZ84" s="66"/>
      <c r="BA84" s="646"/>
      <c r="BB84" s="646"/>
    </row>
    <row r="85" spans="1:54" ht="15" customHeight="1">
      <c r="A85" s="698"/>
      <c r="B85" s="699"/>
      <c r="C85" s="700"/>
      <c r="D85" s="704"/>
      <c r="E85" s="705"/>
      <c r="F85" s="705"/>
      <c r="G85" s="705"/>
      <c r="H85" s="705"/>
      <c r="I85" s="705"/>
      <c r="J85" s="705"/>
      <c r="K85" s="705"/>
      <c r="L85" s="705"/>
      <c r="M85" s="706"/>
      <c r="N85" s="710"/>
      <c r="O85" s="711"/>
      <c r="P85" s="711"/>
      <c r="Q85" s="712"/>
      <c r="R85" s="716"/>
      <c r="S85" s="717"/>
      <c r="T85" s="717"/>
      <c r="U85" s="717"/>
      <c r="V85" s="718"/>
      <c r="W85" s="826" t="str">
        <f>IF(FAMILY7RELATIONSHIP="","",VLOOKUP(APNATION,VARIABLES,3,0))</f>
        <v/>
      </c>
      <c r="X85" s="827"/>
      <c r="Y85" s="827"/>
      <c r="Z85" s="828"/>
      <c r="AA85" s="828"/>
      <c r="AB85" s="828"/>
      <c r="AC85" s="828"/>
      <c r="AD85" s="828"/>
      <c r="AE85" s="828"/>
      <c r="AF85" s="828"/>
      <c r="AG85" s="828"/>
      <c r="AH85" s="828"/>
      <c r="AI85" s="828"/>
      <c r="AJ85" s="828"/>
      <c r="AK85" s="828"/>
      <c r="AL85" s="828"/>
      <c r="AM85" s="828"/>
      <c r="AN85" s="828"/>
      <c r="AO85" s="828"/>
      <c r="AP85" s="828"/>
      <c r="AQ85" s="829"/>
      <c r="AR85" s="619"/>
      <c r="AZ85" s="66"/>
      <c r="BA85" s="646"/>
      <c r="BB85" s="646"/>
    </row>
    <row r="86" spans="1:54" ht="15" customHeight="1">
      <c r="A86" s="701"/>
      <c r="B86" s="702"/>
      <c r="C86" s="703"/>
      <c r="D86" s="707"/>
      <c r="E86" s="708"/>
      <c r="F86" s="708"/>
      <c r="G86" s="708"/>
      <c r="H86" s="708"/>
      <c r="I86" s="708"/>
      <c r="J86" s="708"/>
      <c r="K86" s="708"/>
      <c r="L86" s="708"/>
      <c r="M86" s="709"/>
      <c r="N86" s="713"/>
      <c r="O86" s="714"/>
      <c r="P86" s="714"/>
      <c r="Q86" s="715"/>
      <c r="R86" s="719"/>
      <c r="S86" s="720"/>
      <c r="T86" s="720"/>
      <c r="U86" s="720"/>
      <c r="V86" s="721"/>
      <c r="W86" s="830" t="str">
        <f>IF(FAMILY7RELATIONSHIP="","",VLOOKUP(APNATION,VARIABLES,4,0))</f>
        <v/>
      </c>
      <c r="X86" s="831"/>
      <c r="Y86" s="831"/>
      <c r="Z86" s="832"/>
      <c r="AA86" s="832"/>
      <c r="AB86" s="832"/>
      <c r="AC86" s="832"/>
      <c r="AD86" s="832"/>
      <c r="AE86" s="832"/>
      <c r="AF86" s="832"/>
      <c r="AG86" s="832"/>
      <c r="AH86" s="832"/>
      <c r="AI86" s="832"/>
      <c r="AJ86" s="832"/>
      <c r="AK86" s="832"/>
      <c r="AL86" s="832"/>
      <c r="AM86" s="832"/>
      <c r="AN86" s="832"/>
      <c r="AO86" s="832"/>
      <c r="AP86" s="832"/>
      <c r="AQ86" s="833"/>
      <c r="AR86" s="619"/>
      <c r="AZ86" s="66"/>
      <c r="BA86" s="646"/>
      <c r="BB86" s="646"/>
    </row>
    <row r="87" spans="1:54" ht="15" customHeight="1">
      <c r="A87" s="698"/>
      <c r="B87" s="699"/>
      <c r="C87" s="700"/>
      <c r="D87" s="704"/>
      <c r="E87" s="705"/>
      <c r="F87" s="705"/>
      <c r="G87" s="705"/>
      <c r="H87" s="705"/>
      <c r="I87" s="705"/>
      <c r="J87" s="705"/>
      <c r="K87" s="705"/>
      <c r="L87" s="705"/>
      <c r="M87" s="706"/>
      <c r="N87" s="710"/>
      <c r="O87" s="711"/>
      <c r="P87" s="711"/>
      <c r="Q87" s="712"/>
      <c r="R87" s="716"/>
      <c r="S87" s="717"/>
      <c r="T87" s="717"/>
      <c r="U87" s="717"/>
      <c r="V87" s="718"/>
      <c r="W87" s="826" t="str">
        <f>IF(FAMILY8RELATIONSHIP="","",VLOOKUP(APNATION,VARIABLES,3,0))</f>
        <v/>
      </c>
      <c r="X87" s="827"/>
      <c r="Y87" s="827"/>
      <c r="Z87" s="828"/>
      <c r="AA87" s="828"/>
      <c r="AB87" s="828"/>
      <c r="AC87" s="828"/>
      <c r="AD87" s="828"/>
      <c r="AE87" s="828"/>
      <c r="AF87" s="828"/>
      <c r="AG87" s="828"/>
      <c r="AH87" s="828"/>
      <c r="AI87" s="828"/>
      <c r="AJ87" s="828"/>
      <c r="AK87" s="828"/>
      <c r="AL87" s="828"/>
      <c r="AM87" s="828"/>
      <c r="AN87" s="828"/>
      <c r="AO87" s="828"/>
      <c r="AP87" s="828"/>
      <c r="AQ87" s="829"/>
      <c r="AR87" s="619"/>
      <c r="AZ87" s="66"/>
    </row>
    <row r="88" spans="1:54" ht="15" customHeight="1">
      <c r="A88" s="701"/>
      <c r="B88" s="702"/>
      <c r="C88" s="703"/>
      <c r="D88" s="707"/>
      <c r="E88" s="708"/>
      <c r="F88" s="708"/>
      <c r="G88" s="708"/>
      <c r="H88" s="708"/>
      <c r="I88" s="708"/>
      <c r="J88" s="708"/>
      <c r="K88" s="708"/>
      <c r="L88" s="708"/>
      <c r="M88" s="709"/>
      <c r="N88" s="713"/>
      <c r="O88" s="714"/>
      <c r="P88" s="714"/>
      <c r="Q88" s="715"/>
      <c r="R88" s="719"/>
      <c r="S88" s="720"/>
      <c r="T88" s="720"/>
      <c r="U88" s="720"/>
      <c r="V88" s="721"/>
      <c r="W88" s="830" t="str">
        <f>IF(FAMILY8RELATIONSHIP="","",VLOOKUP(APNATION,VARIABLES,4,0))</f>
        <v/>
      </c>
      <c r="X88" s="831"/>
      <c r="Y88" s="831"/>
      <c r="Z88" s="832"/>
      <c r="AA88" s="832"/>
      <c r="AB88" s="832"/>
      <c r="AC88" s="832"/>
      <c r="AD88" s="832"/>
      <c r="AE88" s="832"/>
      <c r="AF88" s="832"/>
      <c r="AG88" s="832"/>
      <c r="AH88" s="832"/>
      <c r="AI88" s="832"/>
      <c r="AJ88" s="832"/>
      <c r="AK88" s="832"/>
      <c r="AL88" s="832"/>
      <c r="AM88" s="832"/>
      <c r="AN88" s="832"/>
      <c r="AO88" s="832"/>
      <c r="AP88" s="832"/>
      <c r="AQ88" s="833"/>
      <c r="AR88" s="619"/>
      <c r="AZ88" s="66"/>
    </row>
    <row r="89" spans="1:54" ht="15" customHeight="1">
      <c r="A89" s="698"/>
      <c r="B89" s="699"/>
      <c r="C89" s="700"/>
      <c r="D89" s="704"/>
      <c r="E89" s="705"/>
      <c r="F89" s="705"/>
      <c r="G89" s="705"/>
      <c r="H89" s="705"/>
      <c r="I89" s="705"/>
      <c r="J89" s="705"/>
      <c r="K89" s="705"/>
      <c r="L89" s="705"/>
      <c r="M89" s="706"/>
      <c r="N89" s="710"/>
      <c r="O89" s="711"/>
      <c r="P89" s="711"/>
      <c r="Q89" s="712"/>
      <c r="R89" s="716"/>
      <c r="S89" s="717"/>
      <c r="T89" s="717"/>
      <c r="U89" s="717"/>
      <c r="V89" s="718"/>
      <c r="W89" s="826" t="str">
        <f>IF(FAMILY9RELATIONSHIP="","",VLOOKUP(APNATION,VARIABLES,3,0))</f>
        <v/>
      </c>
      <c r="X89" s="827"/>
      <c r="Y89" s="827"/>
      <c r="Z89" s="828"/>
      <c r="AA89" s="828"/>
      <c r="AB89" s="828"/>
      <c r="AC89" s="828"/>
      <c r="AD89" s="828"/>
      <c r="AE89" s="828"/>
      <c r="AF89" s="828"/>
      <c r="AG89" s="828"/>
      <c r="AH89" s="828"/>
      <c r="AI89" s="828"/>
      <c r="AJ89" s="828"/>
      <c r="AK89" s="828"/>
      <c r="AL89" s="828"/>
      <c r="AM89" s="828"/>
      <c r="AN89" s="828"/>
      <c r="AO89" s="828"/>
      <c r="AP89" s="828"/>
      <c r="AQ89" s="829"/>
      <c r="AR89" s="619"/>
      <c r="AZ89" s="66"/>
    </row>
    <row r="90" spans="1:54" ht="15" customHeight="1">
      <c r="A90" s="701"/>
      <c r="B90" s="702"/>
      <c r="C90" s="703"/>
      <c r="D90" s="707"/>
      <c r="E90" s="708"/>
      <c r="F90" s="708"/>
      <c r="G90" s="708"/>
      <c r="H90" s="708"/>
      <c r="I90" s="708"/>
      <c r="J90" s="708"/>
      <c r="K90" s="708"/>
      <c r="L90" s="708"/>
      <c r="M90" s="709"/>
      <c r="N90" s="713"/>
      <c r="O90" s="714"/>
      <c r="P90" s="714"/>
      <c r="Q90" s="715"/>
      <c r="R90" s="719"/>
      <c r="S90" s="720"/>
      <c r="T90" s="720"/>
      <c r="U90" s="720"/>
      <c r="V90" s="721"/>
      <c r="W90" s="830" t="str">
        <f>IF(FAMILY9RELATIONSHIP="","",VLOOKUP(APNATION,VARIABLES,4,0))</f>
        <v/>
      </c>
      <c r="X90" s="831"/>
      <c r="Y90" s="831"/>
      <c r="Z90" s="832"/>
      <c r="AA90" s="832"/>
      <c r="AB90" s="832"/>
      <c r="AC90" s="832"/>
      <c r="AD90" s="832"/>
      <c r="AE90" s="832"/>
      <c r="AF90" s="832"/>
      <c r="AG90" s="832"/>
      <c r="AH90" s="832"/>
      <c r="AI90" s="832"/>
      <c r="AJ90" s="832"/>
      <c r="AK90" s="832"/>
      <c r="AL90" s="832"/>
      <c r="AM90" s="832"/>
      <c r="AN90" s="832"/>
      <c r="AO90" s="832"/>
      <c r="AP90" s="832"/>
      <c r="AQ90" s="833"/>
      <c r="AR90" s="619"/>
      <c r="AZ90" s="66"/>
    </row>
    <row r="91" spans="1:54" ht="15" customHeight="1">
      <c r="A91" s="722"/>
      <c r="B91" s="723"/>
      <c r="C91" s="724"/>
      <c r="D91" s="728"/>
      <c r="E91" s="729"/>
      <c r="F91" s="729"/>
      <c r="G91" s="729"/>
      <c r="H91" s="729"/>
      <c r="I91" s="729"/>
      <c r="J91" s="729"/>
      <c r="K91" s="729"/>
      <c r="L91" s="729"/>
      <c r="M91" s="730"/>
      <c r="N91" s="774"/>
      <c r="O91" s="775"/>
      <c r="P91" s="775"/>
      <c r="Q91" s="776"/>
      <c r="R91" s="761"/>
      <c r="S91" s="762"/>
      <c r="T91" s="762"/>
      <c r="U91" s="762"/>
      <c r="V91" s="763"/>
      <c r="W91" s="834" t="str">
        <f>IF(FAMILY10RELATIONSHIP="","",VLOOKUP(APNATION,VARIABLES,3,0))</f>
        <v/>
      </c>
      <c r="X91" s="835"/>
      <c r="Y91" s="835"/>
      <c r="Z91" s="836"/>
      <c r="AA91" s="836"/>
      <c r="AB91" s="836"/>
      <c r="AC91" s="836"/>
      <c r="AD91" s="836"/>
      <c r="AE91" s="836"/>
      <c r="AF91" s="836"/>
      <c r="AG91" s="836"/>
      <c r="AH91" s="836"/>
      <c r="AI91" s="836"/>
      <c r="AJ91" s="836"/>
      <c r="AK91" s="836"/>
      <c r="AL91" s="836"/>
      <c r="AM91" s="836"/>
      <c r="AN91" s="836"/>
      <c r="AO91" s="836"/>
      <c r="AP91" s="836"/>
      <c r="AQ91" s="837"/>
      <c r="AR91" s="619"/>
      <c r="AZ91" s="66"/>
    </row>
    <row r="92" spans="1:54" ht="15" customHeight="1">
      <c r="A92" s="725"/>
      <c r="B92" s="726"/>
      <c r="C92" s="727"/>
      <c r="D92" s="731"/>
      <c r="E92" s="732"/>
      <c r="F92" s="732"/>
      <c r="G92" s="732"/>
      <c r="H92" s="732"/>
      <c r="I92" s="732"/>
      <c r="J92" s="732"/>
      <c r="K92" s="732"/>
      <c r="L92" s="732"/>
      <c r="M92" s="733"/>
      <c r="N92" s="777"/>
      <c r="O92" s="778"/>
      <c r="P92" s="778"/>
      <c r="Q92" s="779"/>
      <c r="R92" s="780"/>
      <c r="S92" s="781"/>
      <c r="T92" s="781"/>
      <c r="U92" s="781"/>
      <c r="V92" s="782"/>
      <c r="W92" s="811" t="str">
        <f>IF(FAMILY10RELATIONSHIP="","",VLOOKUP(APNATION,VARIABLES,4,0))</f>
        <v/>
      </c>
      <c r="X92" s="812"/>
      <c r="Y92" s="812"/>
      <c r="Z92" s="813"/>
      <c r="AA92" s="813"/>
      <c r="AB92" s="813"/>
      <c r="AC92" s="813"/>
      <c r="AD92" s="813"/>
      <c r="AE92" s="813"/>
      <c r="AF92" s="813"/>
      <c r="AG92" s="813"/>
      <c r="AH92" s="813"/>
      <c r="AI92" s="813"/>
      <c r="AJ92" s="813"/>
      <c r="AK92" s="813"/>
      <c r="AL92" s="813"/>
      <c r="AM92" s="813"/>
      <c r="AN92" s="813"/>
      <c r="AO92" s="813"/>
      <c r="AP92" s="813"/>
      <c r="AQ92" s="814"/>
      <c r="AR92" s="619"/>
      <c r="AZ92" s="66"/>
    </row>
    <row r="93" spans="1:54" ht="22.5" customHeight="1">
      <c r="A93" s="815" t="str">
        <f>IF(APNATION="","",VLOOKUP(APNATION,REASONINFO,2,0))</f>
        <v>Reason for enrolment</v>
      </c>
      <c r="B93" s="815"/>
      <c r="C93" s="815"/>
      <c r="D93" s="815"/>
      <c r="E93" s="815"/>
      <c r="F93" s="815"/>
      <c r="G93" s="815"/>
      <c r="H93" s="815"/>
      <c r="I93" s="815"/>
      <c r="J93" s="815"/>
      <c r="K93" s="815"/>
      <c r="L93" s="815"/>
      <c r="M93" s="815"/>
      <c r="N93" s="815"/>
      <c r="O93" s="815"/>
      <c r="P93" s="815"/>
      <c r="Q93" s="815"/>
      <c r="R93" s="815"/>
      <c r="S93" s="815"/>
      <c r="T93" s="815"/>
      <c r="U93" s="815"/>
      <c r="V93" s="815"/>
      <c r="W93" s="815"/>
      <c r="X93" s="815"/>
      <c r="Y93" s="815"/>
      <c r="Z93" s="815"/>
      <c r="AA93" s="815"/>
      <c r="AB93" s="815"/>
      <c r="AC93" s="815"/>
      <c r="AD93" s="815"/>
      <c r="AE93" s="815"/>
      <c r="AF93" s="815"/>
      <c r="AG93" s="815"/>
      <c r="AH93" s="815"/>
      <c r="AI93" s="815"/>
      <c r="AJ93" s="815"/>
      <c r="AK93" s="815"/>
      <c r="AL93" s="815"/>
      <c r="AM93" s="815"/>
      <c r="AN93" s="815"/>
      <c r="AO93" s="815"/>
      <c r="AP93" s="815"/>
      <c r="AQ93" s="815"/>
      <c r="AR93" s="619"/>
    </row>
    <row r="94" spans="1:54" ht="22.5" customHeight="1">
      <c r="A94" s="816" t="str">
        <f>IF(APNATION="","",VLOOKUP(APNATION,REASONINFO,5,0))</f>
        <v>Please write in detail your reason for coming to Japan and your plans after graduating from our school. Short responses are generally considered unfavourable</v>
      </c>
      <c r="B94" s="816"/>
      <c r="C94" s="816"/>
      <c r="D94" s="816"/>
      <c r="E94" s="816"/>
      <c r="F94" s="816"/>
      <c r="G94" s="816"/>
      <c r="H94" s="816"/>
      <c r="I94" s="816"/>
      <c r="J94" s="816"/>
      <c r="K94" s="816"/>
      <c r="L94" s="816"/>
      <c r="M94" s="816"/>
      <c r="N94" s="816"/>
      <c r="O94" s="816"/>
      <c r="P94" s="816"/>
      <c r="Q94" s="816"/>
      <c r="R94" s="816"/>
      <c r="S94" s="816"/>
      <c r="T94" s="816"/>
      <c r="U94" s="816"/>
      <c r="V94" s="816"/>
      <c r="W94" s="816"/>
      <c r="X94" s="816"/>
      <c r="Y94" s="816"/>
      <c r="Z94" s="816"/>
      <c r="AA94" s="816"/>
      <c r="AB94" s="816"/>
      <c r="AC94" s="816"/>
      <c r="AD94" s="816"/>
      <c r="AE94" s="816"/>
      <c r="AF94" s="816"/>
      <c r="AG94" s="816"/>
      <c r="AH94" s="816"/>
      <c r="AI94" s="816"/>
      <c r="AJ94" s="816"/>
      <c r="AK94" s="816"/>
      <c r="AL94" s="816"/>
      <c r="AM94" s="816"/>
      <c r="AN94" s="816"/>
      <c r="AO94" s="816"/>
      <c r="AP94" s="816"/>
      <c r="AQ94" s="816"/>
      <c r="AR94" s="619"/>
    </row>
    <row r="95" spans="1:54" ht="112.5" customHeight="1">
      <c r="A95" s="817"/>
      <c r="B95" s="818"/>
      <c r="C95" s="818"/>
      <c r="D95" s="818"/>
      <c r="E95" s="818"/>
      <c r="F95" s="818"/>
      <c r="G95" s="818"/>
      <c r="H95" s="818"/>
      <c r="I95" s="818"/>
      <c r="J95" s="818"/>
      <c r="K95" s="818"/>
      <c r="L95" s="818"/>
      <c r="M95" s="818"/>
      <c r="N95" s="818"/>
      <c r="O95" s="818"/>
      <c r="P95" s="818"/>
      <c r="Q95" s="818"/>
      <c r="R95" s="818"/>
      <c r="S95" s="818"/>
      <c r="T95" s="818"/>
      <c r="U95" s="818"/>
      <c r="V95" s="818"/>
      <c r="W95" s="818"/>
      <c r="X95" s="818"/>
      <c r="Y95" s="818"/>
      <c r="Z95" s="818"/>
      <c r="AA95" s="818"/>
      <c r="AB95" s="818"/>
      <c r="AC95" s="818"/>
      <c r="AD95" s="818"/>
      <c r="AE95" s="818"/>
      <c r="AF95" s="818"/>
      <c r="AG95" s="818"/>
      <c r="AH95" s="818"/>
      <c r="AI95" s="818"/>
      <c r="AJ95" s="818"/>
      <c r="AK95" s="818"/>
      <c r="AL95" s="818"/>
      <c r="AM95" s="818"/>
      <c r="AN95" s="818"/>
      <c r="AO95" s="818"/>
      <c r="AP95" s="818"/>
      <c r="AQ95" s="819"/>
      <c r="AR95" s="619"/>
      <c r="AS95" s="619"/>
      <c r="AU95" s="668"/>
      <c r="AV95" s="668"/>
      <c r="AY95" s="647"/>
    </row>
    <row r="96" spans="1:54" ht="15" customHeight="1">
      <c r="A96" s="659"/>
      <c r="B96" s="659"/>
      <c r="C96" s="659"/>
      <c r="D96" s="659"/>
      <c r="E96" s="659"/>
      <c r="F96" s="659"/>
      <c r="G96" s="659"/>
      <c r="H96" s="659"/>
      <c r="I96" s="659"/>
      <c r="J96" s="659"/>
      <c r="K96" s="659"/>
      <c r="L96" s="659"/>
      <c r="M96" s="659"/>
      <c r="N96" s="659"/>
      <c r="O96" s="659"/>
      <c r="P96" s="659"/>
      <c r="Q96" s="659"/>
      <c r="R96" s="659"/>
      <c r="S96" s="659"/>
      <c r="T96" s="659"/>
      <c r="U96" s="659"/>
      <c r="V96" s="659"/>
      <c r="W96" s="659"/>
      <c r="X96" s="659"/>
      <c r="Y96" s="659"/>
      <c r="Z96" s="659"/>
      <c r="AA96" s="659"/>
      <c r="AB96" s="659"/>
      <c r="AC96" s="659"/>
      <c r="AD96" s="659"/>
      <c r="AE96" s="659"/>
      <c r="AF96" s="659"/>
      <c r="AG96" s="659"/>
      <c r="AH96" s="659"/>
      <c r="AI96" s="659"/>
      <c r="AJ96" s="659"/>
      <c r="AK96" s="659"/>
      <c r="AL96" s="659"/>
      <c r="AM96" s="659"/>
      <c r="AN96" s="659"/>
      <c r="AO96" s="659"/>
      <c r="AP96" s="659"/>
      <c r="AQ96" s="659"/>
      <c r="AR96" s="619"/>
      <c r="AS96" s="619"/>
      <c r="AT96" s="668"/>
      <c r="AU96" s="668"/>
      <c r="AV96" s="668"/>
      <c r="AY96" s="647"/>
    </row>
    <row r="97" spans="1:59" ht="15" customHeight="1">
      <c r="A97" s="659"/>
      <c r="B97" s="820" t="s">
        <v>20</v>
      </c>
      <c r="C97" s="820"/>
      <c r="D97" s="820"/>
      <c r="E97" s="820"/>
      <c r="F97" s="820"/>
      <c r="G97" s="820"/>
      <c r="H97" s="820"/>
      <c r="I97" s="820"/>
      <c r="J97" s="820"/>
      <c r="K97" s="820"/>
      <c r="L97" s="820"/>
      <c r="M97" s="820"/>
      <c r="N97" s="820"/>
      <c r="O97" s="820"/>
      <c r="P97" s="659"/>
      <c r="Q97" s="659"/>
      <c r="R97" s="663"/>
      <c r="S97" s="663"/>
      <c r="T97" s="663"/>
      <c r="U97" s="664"/>
      <c r="V97" s="663"/>
      <c r="W97" s="663"/>
      <c r="X97" s="664"/>
      <c r="Y97" s="663"/>
      <c r="Z97" s="663"/>
      <c r="AA97" s="664"/>
      <c r="AB97" s="659"/>
      <c r="AC97" s="666"/>
      <c r="AD97" s="663"/>
      <c r="AE97" s="663"/>
      <c r="AF97" s="663"/>
      <c r="AG97" s="663"/>
      <c r="AH97" s="663"/>
      <c r="AI97" s="663"/>
      <c r="AJ97" s="663"/>
      <c r="AK97" s="663"/>
      <c r="AL97" s="663"/>
      <c r="AM97" s="663"/>
      <c r="AN97" s="663"/>
      <c r="AO97" s="663"/>
      <c r="AP97" s="663"/>
      <c r="AQ97" s="659"/>
      <c r="AR97" s="619"/>
      <c r="AS97" s="619"/>
      <c r="AT97" s="668"/>
      <c r="AU97" s="668"/>
      <c r="AY97" s="647"/>
    </row>
    <row r="98" spans="1:59" ht="15" customHeight="1">
      <c r="A98" s="659"/>
      <c r="B98" s="821" t="str">
        <f>IF(SCHOOLNAME="進和外語アカデミー","Shinwa Foreign Language Academy","Tokyo Hirai Japanese Language School")</f>
        <v>Shinwa Foreign Language Academy</v>
      </c>
      <c r="C98" s="821"/>
      <c r="D98" s="821"/>
      <c r="E98" s="821"/>
      <c r="F98" s="821"/>
      <c r="G98" s="821"/>
      <c r="H98" s="821"/>
      <c r="I98" s="821"/>
      <c r="J98" s="821"/>
      <c r="K98" s="821"/>
      <c r="L98" s="821"/>
      <c r="M98" s="821"/>
      <c r="N98" s="821"/>
      <c r="O98" s="821"/>
      <c r="P98" s="661"/>
      <c r="Q98" s="661"/>
      <c r="R98" s="661"/>
      <c r="S98" s="665"/>
      <c r="T98" s="665"/>
      <c r="U98" s="665"/>
      <c r="V98" s="665"/>
      <c r="W98" s="665"/>
      <c r="X98" s="665"/>
      <c r="Y98" s="825"/>
      <c r="Z98" s="825"/>
      <c r="AA98" s="825"/>
      <c r="AB98" s="825"/>
      <c r="AC98" s="825"/>
      <c r="AD98" s="825"/>
      <c r="AE98" s="783"/>
      <c r="AF98" s="783"/>
      <c r="AG98" s="783"/>
      <c r="AH98" s="783"/>
      <c r="AI98" s="783"/>
      <c r="AJ98" s="783"/>
      <c r="AK98" s="783"/>
      <c r="AL98" s="783"/>
      <c r="AM98" s="783"/>
      <c r="AN98" s="783"/>
      <c r="AO98" s="783"/>
      <c r="AP98" s="783"/>
      <c r="AQ98" s="659"/>
      <c r="AR98" s="619"/>
      <c r="AS98" s="619"/>
      <c r="AT98" s="624"/>
      <c r="AY98" s="647"/>
    </row>
    <row r="99" spans="1:59" ht="15" customHeight="1">
      <c r="A99" s="659"/>
      <c r="B99" s="822" t="str">
        <f>IF(SCHOOLNAME="進和外語アカデミー","〒169-0075 東京都新宿区高田馬場 2-14-30","〒132-0035 東京都江戸川区平井6-2-25")</f>
        <v>〒169-0075 東京都新宿区高田馬場 2-14-30</v>
      </c>
      <c r="C99" s="823"/>
      <c r="D99" s="823"/>
      <c r="E99" s="823"/>
      <c r="F99" s="823"/>
      <c r="G99" s="823"/>
      <c r="H99" s="823"/>
      <c r="I99" s="823"/>
      <c r="J99" s="823"/>
      <c r="K99" s="823"/>
      <c r="L99" s="823"/>
      <c r="M99" s="823"/>
      <c r="N99" s="823"/>
      <c r="O99" s="823"/>
      <c r="P99" s="661"/>
      <c r="Q99" s="661"/>
      <c r="R99" s="661"/>
      <c r="S99" s="665"/>
      <c r="T99" s="665"/>
      <c r="U99" s="665"/>
      <c r="V99" s="665"/>
      <c r="W99" s="665"/>
      <c r="X99" s="665"/>
      <c r="Y99" s="825"/>
      <c r="Z99" s="825"/>
      <c r="AA99" s="825"/>
      <c r="AB99" s="825"/>
      <c r="AC99" s="825"/>
      <c r="AD99" s="825"/>
      <c r="AE99" s="783"/>
      <c r="AF99" s="783"/>
      <c r="AG99" s="783"/>
      <c r="AH99" s="783"/>
      <c r="AI99" s="783"/>
      <c r="AJ99" s="783"/>
      <c r="AK99" s="783"/>
      <c r="AL99" s="783"/>
      <c r="AM99" s="783"/>
      <c r="AN99" s="783"/>
      <c r="AO99" s="783"/>
      <c r="AP99" s="783"/>
      <c r="AQ99" s="659"/>
      <c r="AR99" s="619"/>
      <c r="AS99" s="619"/>
      <c r="AT99" s="624"/>
      <c r="AY99" s="647"/>
    </row>
    <row r="100" spans="1:59" ht="15" customHeight="1">
      <c r="A100" s="659"/>
      <c r="B100" s="824" t="str">
        <f>IF(SCHOOLNAME="進和外語アカデミー","TEL: 03-6233-8175　　　FAX: 03-6233-8176","TEL: 03-6657-2727　　　FAX: 03-6657-2726")</f>
        <v>TEL: 03-6233-8175　　　FAX: 03-6233-8176</v>
      </c>
      <c r="C100" s="824"/>
      <c r="D100" s="824"/>
      <c r="E100" s="824"/>
      <c r="F100" s="824"/>
      <c r="G100" s="824"/>
      <c r="H100" s="824"/>
      <c r="I100" s="824"/>
      <c r="J100" s="824"/>
      <c r="K100" s="824"/>
      <c r="L100" s="824"/>
      <c r="M100" s="824"/>
      <c r="N100" s="824"/>
      <c r="O100" s="824"/>
      <c r="P100" s="659"/>
      <c r="Q100" s="659"/>
      <c r="R100" s="659"/>
      <c r="S100" s="659"/>
      <c r="T100" s="659"/>
      <c r="U100" s="659"/>
      <c r="V100" s="659"/>
      <c r="W100" s="659"/>
      <c r="X100" s="659"/>
      <c r="Y100" s="659"/>
      <c r="Z100" s="659"/>
      <c r="AA100" s="659"/>
      <c r="AB100" s="659"/>
      <c r="AC100" s="659"/>
      <c r="AD100" s="659"/>
      <c r="AE100" s="659"/>
      <c r="AF100" s="659"/>
      <c r="AG100" s="659"/>
      <c r="AH100" s="659"/>
      <c r="AI100" s="659"/>
      <c r="AJ100" s="659"/>
      <c r="AK100" s="659"/>
      <c r="AL100" s="659"/>
      <c r="AM100" s="659"/>
      <c r="AN100" s="659"/>
      <c r="AO100" s="659"/>
      <c r="AP100" s="659"/>
      <c r="AQ100" s="659"/>
      <c r="AR100" s="619"/>
      <c r="AS100" s="619"/>
      <c r="AT100" s="624"/>
      <c r="AY100" s="647"/>
    </row>
    <row r="101" spans="1:59" ht="15" customHeight="1">
      <c r="B101" s="534"/>
      <c r="C101" s="534"/>
      <c r="D101" s="534"/>
      <c r="E101" s="534"/>
      <c r="F101" s="534"/>
      <c r="G101" s="534"/>
      <c r="H101" s="534"/>
      <c r="I101" s="534"/>
      <c r="J101" s="534"/>
      <c r="K101" s="534"/>
      <c r="L101" s="534"/>
      <c r="M101" s="534"/>
      <c r="N101" s="534"/>
      <c r="O101" s="534"/>
      <c r="AR101" s="619"/>
      <c r="AS101" s="619"/>
      <c r="AT101" s="624"/>
      <c r="AY101" s="647"/>
    </row>
    <row r="102" spans="1:59" ht="15" customHeight="1">
      <c r="AR102" s="619"/>
      <c r="AS102" s="619"/>
      <c r="AT102" s="624"/>
      <c r="AY102" s="647"/>
    </row>
    <row r="103" spans="1:59" ht="15" customHeight="1">
      <c r="AR103" s="619"/>
      <c r="AS103" s="619"/>
      <c r="AT103" s="624"/>
      <c r="AY103" s="647"/>
    </row>
    <row r="104" spans="1:59" ht="15" customHeight="1">
      <c r="AR104" s="619"/>
      <c r="AS104" s="619"/>
      <c r="AT104" s="624"/>
      <c r="AY104" s="647"/>
    </row>
    <row r="105" spans="1:59" ht="15" customHeight="1">
      <c r="AR105" s="619"/>
      <c r="AS105" s="619"/>
      <c r="AT105" s="619"/>
      <c r="AY105" s="647"/>
    </row>
    <row r="106" spans="1:59" ht="15" customHeight="1">
      <c r="AR106" s="619"/>
      <c r="AS106" s="619"/>
      <c r="AT106" s="7"/>
      <c r="AY106" s="647"/>
    </row>
    <row r="107" spans="1:59" ht="15" customHeight="1">
      <c r="AR107" s="619"/>
      <c r="AS107" s="619"/>
      <c r="AT107" s="7"/>
      <c r="AY107" s="647"/>
    </row>
    <row r="108" spans="1:59" ht="15" customHeight="1">
      <c r="AR108" s="619"/>
      <c r="AS108" s="619"/>
      <c r="AT108" s="7"/>
      <c r="AY108" s="647"/>
    </row>
    <row r="109" spans="1:59" ht="15" customHeight="1">
      <c r="AR109" s="634"/>
      <c r="AS109" s="634"/>
      <c r="AT109" s="7"/>
      <c r="AY109" s="647"/>
    </row>
    <row r="110" spans="1:59" ht="15" customHeight="1">
      <c r="AT110" s="7"/>
      <c r="AY110" s="647"/>
    </row>
    <row r="111" spans="1:59" ht="15" customHeight="1">
      <c r="AT111" s="7"/>
      <c r="AY111" s="647"/>
    </row>
    <row r="112" spans="1:59" ht="15" customHeight="1">
      <c r="AT112" s="643"/>
      <c r="AU112" s="597"/>
      <c r="AV112" s="597"/>
      <c r="AW112" s="597"/>
      <c r="AX112" s="597"/>
      <c r="AY112" s="647"/>
      <c r="BC112" s="597"/>
      <c r="BD112" s="597"/>
      <c r="BE112" s="597"/>
      <c r="BF112" s="597"/>
      <c r="BG112" s="597"/>
    </row>
    <row r="113" spans="1:106" ht="15" customHeight="1">
      <c r="A113" s="634"/>
      <c r="AQ113" s="596"/>
      <c r="AT113" s="619"/>
      <c r="AU113" s="596"/>
      <c r="AV113" s="596"/>
      <c r="AW113" s="596"/>
      <c r="AX113" s="596"/>
      <c r="AY113" s="647"/>
      <c r="BC113" s="596"/>
      <c r="BD113" s="596"/>
      <c r="BE113" s="596"/>
      <c r="BF113" s="596"/>
      <c r="BG113" s="596"/>
      <c r="BH113" s="597"/>
      <c r="BI113" s="597"/>
    </row>
    <row r="114" spans="1:106" ht="15" customHeight="1">
      <c r="A114" s="634"/>
      <c r="AQ114" s="596"/>
      <c r="AR114" s="669"/>
      <c r="AS114" s="669"/>
      <c r="AT114" s="619"/>
      <c r="AU114" s="596"/>
      <c r="AV114" s="596"/>
      <c r="AW114" s="596"/>
      <c r="AX114" s="596"/>
      <c r="AY114" s="647"/>
      <c r="BC114" s="596"/>
      <c r="BD114" s="596"/>
      <c r="BE114" s="596"/>
      <c r="BF114" s="596"/>
      <c r="BG114" s="596"/>
      <c r="BH114" s="596"/>
      <c r="BI114" s="596"/>
      <c r="BJ114" s="597"/>
      <c r="BK114" s="597"/>
      <c r="BL114" s="597"/>
      <c r="BM114" s="597"/>
    </row>
    <row r="115" spans="1:106" ht="15" customHeight="1">
      <c r="B115" s="597"/>
      <c r="C115" s="597"/>
      <c r="D115" s="597"/>
      <c r="E115" s="597"/>
      <c r="F115" s="597"/>
      <c r="G115" s="597"/>
      <c r="H115" s="597"/>
      <c r="I115" s="597"/>
      <c r="J115" s="597"/>
      <c r="K115" s="597"/>
      <c r="L115" s="597"/>
      <c r="M115" s="597"/>
      <c r="N115" s="597"/>
      <c r="O115" s="597"/>
      <c r="S115" s="597"/>
      <c r="T115" s="597"/>
      <c r="AP115" s="597"/>
      <c r="AQ115" s="670"/>
      <c r="AR115" s="669"/>
      <c r="AS115" s="669"/>
      <c r="AT115" s="619"/>
      <c r="AU115" s="596"/>
      <c r="AV115" s="596"/>
      <c r="AW115" s="596"/>
      <c r="AX115" s="596"/>
      <c r="AY115" s="647"/>
      <c r="BC115" s="596"/>
      <c r="BD115" s="596"/>
      <c r="BE115" s="596"/>
      <c r="BF115" s="596"/>
      <c r="BG115" s="596"/>
      <c r="BH115" s="596"/>
      <c r="BI115" s="596"/>
      <c r="BJ115" s="596"/>
      <c r="BK115" s="596"/>
      <c r="BL115" s="596"/>
      <c r="BM115" s="596"/>
      <c r="BN115" s="597"/>
      <c r="BO115" s="597"/>
      <c r="BP115" s="597"/>
      <c r="BQ115" s="597"/>
      <c r="BR115" s="597"/>
      <c r="BS115" s="597"/>
      <c r="BT115" s="597"/>
      <c r="BU115" s="597"/>
      <c r="BV115" s="597"/>
      <c r="BW115" s="597"/>
      <c r="BX115" s="597"/>
      <c r="BY115" s="597"/>
      <c r="BZ115" s="597"/>
      <c r="CA115" s="597"/>
      <c r="CB115" s="597"/>
      <c r="CC115" s="597"/>
      <c r="CD115" s="597"/>
      <c r="CE115" s="597"/>
      <c r="CF115" s="597"/>
      <c r="CG115" s="597"/>
      <c r="CH115" s="597"/>
      <c r="CI115" s="597"/>
      <c r="CJ115" s="597"/>
      <c r="CK115" s="597"/>
      <c r="CL115" s="597"/>
      <c r="CM115" s="597"/>
      <c r="CN115" s="597"/>
      <c r="CO115" s="597"/>
      <c r="CP115" s="597"/>
      <c r="CQ115" s="597"/>
      <c r="CR115" s="597"/>
      <c r="CS115" s="597"/>
      <c r="CT115" s="597"/>
      <c r="CU115" s="597"/>
      <c r="CV115" s="597"/>
      <c r="CW115" s="597"/>
      <c r="CX115" s="597"/>
      <c r="CY115" s="597"/>
      <c r="CZ115" s="597"/>
      <c r="DA115" s="597"/>
      <c r="DB115" s="597"/>
    </row>
    <row r="116" spans="1:106" s="597" customFormat="1" ht="15" customHeight="1">
      <c r="A116" s="634"/>
      <c r="B116" s="660"/>
      <c r="C116" s="660"/>
      <c r="D116" s="660"/>
      <c r="E116" s="660"/>
      <c r="F116" s="660"/>
      <c r="G116" s="660"/>
      <c r="H116" s="660"/>
      <c r="I116" s="660"/>
      <c r="J116" s="660"/>
      <c r="K116" s="660"/>
      <c r="L116" s="660"/>
      <c r="M116" s="660"/>
      <c r="N116" s="634"/>
      <c r="O116" s="662"/>
      <c r="S116" s="596"/>
      <c r="T116" s="596"/>
      <c r="AP116" s="596"/>
      <c r="AQ116" s="596"/>
      <c r="AT116" s="619"/>
      <c r="AU116" s="1"/>
      <c r="AV116" s="1"/>
      <c r="AW116" s="1"/>
      <c r="AX116" s="1"/>
      <c r="AY116" s="647"/>
      <c r="AZ116" s="600"/>
      <c r="BA116" s="600"/>
      <c r="BB116" s="600"/>
      <c r="BC116" s="1"/>
      <c r="BD116" s="1"/>
      <c r="BE116" s="1"/>
      <c r="BF116" s="1"/>
      <c r="BG116" s="1"/>
      <c r="BH116" s="596"/>
      <c r="BI116" s="596"/>
      <c r="BJ116" s="596"/>
      <c r="BK116" s="596"/>
      <c r="BL116" s="596"/>
      <c r="BM116" s="596"/>
      <c r="BN116" s="596"/>
      <c r="BO116" s="596"/>
      <c r="BP116" s="596"/>
      <c r="BQ116" s="596"/>
      <c r="BR116" s="596"/>
      <c r="BS116" s="596"/>
      <c r="BT116" s="596"/>
      <c r="BU116" s="596"/>
      <c r="BV116" s="596"/>
      <c r="BW116" s="596"/>
      <c r="BX116" s="596"/>
      <c r="BY116" s="596"/>
      <c r="BZ116" s="596"/>
      <c r="CA116" s="596"/>
      <c r="CB116" s="596"/>
      <c r="CC116" s="596"/>
      <c r="CD116" s="596"/>
      <c r="CE116" s="596"/>
      <c r="CF116" s="596"/>
      <c r="CG116" s="596"/>
      <c r="CH116" s="596"/>
      <c r="CI116" s="596"/>
      <c r="CJ116" s="596"/>
      <c r="CK116" s="596"/>
      <c r="CL116" s="596"/>
      <c r="CM116" s="596"/>
      <c r="CN116" s="596"/>
      <c r="CO116" s="596"/>
      <c r="CP116" s="596"/>
      <c r="CQ116" s="596"/>
      <c r="CR116" s="596"/>
      <c r="CS116" s="596"/>
      <c r="CT116" s="596"/>
      <c r="CU116" s="596"/>
      <c r="CV116" s="596"/>
      <c r="CW116" s="596"/>
      <c r="CX116" s="596"/>
      <c r="CY116" s="596"/>
      <c r="CZ116" s="596"/>
      <c r="DA116" s="596"/>
      <c r="DB116" s="596"/>
    </row>
    <row r="117" spans="1:106" s="596" customFormat="1" ht="15" customHeight="1">
      <c r="A117" s="1"/>
      <c r="B117" s="1"/>
      <c r="C117" s="1"/>
      <c r="D117" s="1"/>
      <c r="E117" s="1"/>
      <c r="F117" s="1"/>
      <c r="G117" s="1"/>
      <c r="H117" s="1"/>
      <c r="I117" s="1"/>
      <c r="J117" s="1"/>
      <c r="K117" s="1"/>
      <c r="L117" s="1"/>
      <c r="M117" s="1"/>
      <c r="N117" s="1"/>
      <c r="O117" s="1"/>
      <c r="S117" s="1"/>
      <c r="T117" s="1"/>
      <c r="AP117" s="1"/>
      <c r="AQ117" s="1"/>
      <c r="AT117" s="1"/>
      <c r="AU117" s="1"/>
      <c r="AV117" s="1"/>
      <c r="AW117" s="1"/>
      <c r="AX117" s="1"/>
      <c r="AY117" s="647"/>
      <c r="AZ117" s="600"/>
      <c r="BA117" s="600"/>
      <c r="BB117" s="600"/>
      <c r="BC117" s="1"/>
      <c r="BD117" s="1"/>
      <c r="BE117" s="1"/>
      <c r="BF117" s="1"/>
      <c r="BG117" s="1"/>
      <c r="BH117" s="1"/>
      <c r="BI117" s="1"/>
    </row>
    <row r="118" spans="1:106" s="596" customFormat="1" ht="15" customHeight="1">
      <c r="AT118" s="1"/>
      <c r="AU118" s="1"/>
      <c r="AV118" s="1"/>
      <c r="AW118" s="1"/>
      <c r="AX118" s="1"/>
      <c r="AY118" s="647"/>
      <c r="AZ118" s="600"/>
      <c r="BA118" s="600"/>
      <c r="BB118" s="600"/>
      <c r="BC118" s="1"/>
      <c r="BD118" s="1"/>
      <c r="BE118" s="1"/>
      <c r="BF118" s="1"/>
      <c r="BG118" s="1"/>
      <c r="BH118" s="1"/>
      <c r="BI118" s="1"/>
      <c r="BJ118" s="1"/>
      <c r="BK118" s="1"/>
      <c r="BL118" s="1"/>
      <c r="BM118" s="1"/>
    </row>
    <row r="119" spans="1:106" s="596" customFormat="1" ht="1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T119" s="1"/>
      <c r="AU119" s="1"/>
      <c r="AV119" s="1"/>
      <c r="AW119" s="1"/>
      <c r="AX119" s="1"/>
      <c r="AY119" s="647"/>
      <c r="AZ119" s="600"/>
      <c r="BA119" s="600"/>
      <c r="BB119" s="600"/>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row>
    <row r="120" spans="1:106" ht="15" customHeight="1">
      <c r="AY120" s="647"/>
    </row>
    <row r="121" spans="1:106" ht="15" customHeight="1">
      <c r="AY121" s="647"/>
    </row>
    <row r="122" spans="1:106" ht="15" customHeight="1">
      <c r="AY122" s="647"/>
    </row>
    <row r="123" spans="1:106" ht="15" customHeight="1">
      <c r="AY123" s="647"/>
    </row>
    <row r="124" spans="1:106" ht="15" customHeight="1">
      <c r="AY124" s="647"/>
    </row>
    <row r="125" spans="1:106" ht="15" customHeight="1">
      <c r="AY125" s="647"/>
    </row>
    <row r="126" spans="1:106" ht="15" customHeight="1">
      <c r="AY126" s="647"/>
    </row>
    <row r="127" spans="1:106" ht="15" customHeight="1">
      <c r="AY127" s="647"/>
    </row>
    <row r="128" spans="1:106" ht="15" customHeight="1">
      <c r="AY128" s="647"/>
    </row>
    <row r="129" spans="51:51" ht="15" customHeight="1">
      <c r="AY129" s="647"/>
    </row>
    <row r="130" spans="51:51">
      <c r="AY130" s="647"/>
    </row>
    <row r="131" spans="51:51">
      <c r="AY131" s="647"/>
    </row>
    <row r="132" spans="51:51">
      <c r="AY132" s="647"/>
    </row>
    <row r="133" spans="51:51">
      <c r="AY133" s="647"/>
    </row>
    <row r="134" spans="51:51">
      <c r="AY134" s="647"/>
    </row>
    <row r="135" spans="51:51">
      <c r="AY135" s="647"/>
    </row>
    <row r="136" spans="51:51">
      <c r="AY136" s="647"/>
    </row>
    <row r="137" spans="51:51">
      <c r="AY137" s="647"/>
    </row>
    <row r="138" spans="51:51">
      <c r="AY138" s="647"/>
    </row>
    <row r="139" spans="51:51">
      <c r="AY139" s="647"/>
    </row>
    <row r="140" spans="51:51">
      <c r="AY140" s="647"/>
    </row>
    <row r="141" spans="51:51">
      <c r="AY141" s="647"/>
    </row>
    <row r="142" spans="51:51">
      <c r="AY142" s="647"/>
    </row>
    <row r="143" spans="51:51">
      <c r="AY143" s="647"/>
    </row>
    <row r="144" spans="51:51">
      <c r="AY144" s="647"/>
    </row>
    <row r="145" spans="51:51">
      <c r="AY145" s="647"/>
    </row>
    <row r="146" spans="51:51">
      <c r="AY146" s="647"/>
    </row>
    <row r="147" spans="51:51">
      <c r="AY147" s="647"/>
    </row>
    <row r="148" spans="51:51">
      <c r="AY148" s="647"/>
    </row>
    <row r="149" spans="51:51">
      <c r="AY149" s="647"/>
    </row>
    <row r="150" spans="51:51">
      <c r="AY150" s="647"/>
    </row>
    <row r="151" spans="51:51">
      <c r="AY151" s="647"/>
    </row>
    <row r="152" spans="51:51">
      <c r="AY152" s="647"/>
    </row>
    <row r="153" spans="51:51">
      <c r="AY153" s="647"/>
    </row>
    <row r="154" spans="51:51">
      <c r="AY154" s="647"/>
    </row>
    <row r="155" spans="51:51">
      <c r="AY155" s="647"/>
    </row>
    <row r="156" spans="51:51">
      <c r="AY156" s="647"/>
    </row>
    <row r="157" spans="51:51">
      <c r="AY157" s="647"/>
    </row>
    <row r="158" spans="51:51">
      <c r="AY158" s="647"/>
    </row>
    <row r="159" spans="51:51">
      <c r="AY159" s="647"/>
    </row>
    <row r="160" spans="51:51">
      <c r="AY160" s="647"/>
    </row>
    <row r="161" spans="51:51">
      <c r="AY161" s="647"/>
    </row>
    <row r="162" spans="51:51">
      <c r="AY162" s="647"/>
    </row>
    <row r="163" spans="51:51">
      <c r="AY163" s="647"/>
    </row>
    <row r="164" spans="51:51">
      <c r="AY164" s="647"/>
    </row>
    <row r="165" spans="51:51">
      <c r="AY165" s="647"/>
    </row>
    <row r="166" spans="51:51">
      <c r="AY166" s="647"/>
    </row>
    <row r="167" spans="51:51">
      <c r="AY167" s="647"/>
    </row>
    <row r="168" spans="51:51">
      <c r="AY168" s="647"/>
    </row>
    <row r="169" spans="51:51">
      <c r="AY169" s="647"/>
    </row>
    <row r="170" spans="51:51">
      <c r="AY170" s="647"/>
    </row>
    <row r="171" spans="51:51">
      <c r="AY171" s="647"/>
    </row>
    <row r="172" spans="51:51">
      <c r="AY172" s="647"/>
    </row>
    <row r="173" spans="51:51">
      <c r="AY173" s="647"/>
    </row>
    <row r="174" spans="51:51">
      <c r="AY174" s="647"/>
    </row>
    <row r="175" spans="51:51">
      <c r="AY175" s="647"/>
    </row>
    <row r="176" spans="51:51">
      <c r="AY176" s="647"/>
    </row>
    <row r="177" spans="51:51">
      <c r="AY177" s="647"/>
    </row>
    <row r="178" spans="51:51">
      <c r="AY178" s="647"/>
    </row>
    <row r="179" spans="51:51">
      <c r="AY179" s="647"/>
    </row>
    <row r="180" spans="51:51">
      <c r="AY180" s="647"/>
    </row>
    <row r="181" spans="51:51">
      <c r="AY181" s="647"/>
    </row>
    <row r="182" spans="51:51">
      <c r="AY182" s="647"/>
    </row>
    <row r="183" spans="51:51">
      <c r="AY183" s="647"/>
    </row>
    <row r="184" spans="51:51">
      <c r="AY184" s="647"/>
    </row>
    <row r="185" spans="51:51">
      <c r="AY185" s="647"/>
    </row>
    <row r="186" spans="51:51">
      <c r="AY186" s="647"/>
    </row>
    <row r="187" spans="51:51">
      <c r="AY187" s="647"/>
    </row>
    <row r="188" spans="51:51">
      <c r="AY188" s="647"/>
    </row>
    <row r="189" spans="51:51">
      <c r="AY189" s="647"/>
    </row>
    <row r="190" spans="51:51">
      <c r="AY190" s="647"/>
    </row>
    <row r="191" spans="51:51">
      <c r="AY191" s="647"/>
    </row>
    <row r="192" spans="51:51">
      <c r="AY192" s="647"/>
    </row>
    <row r="193" spans="51:51">
      <c r="AY193" s="647"/>
    </row>
    <row r="194" spans="51:51">
      <c r="AY194" s="647"/>
    </row>
    <row r="195" spans="51:51">
      <c r="AY195" s="647"/>
    </row>
    <row r="196" spans="51:51">
      <c r="AY196" s="647"/>
    </row>
    <row r="197" spans="51:51">
      <c r="AY197" s="647"/>
    </row>
    <row r="198" spans="51:51">
      <c r="AY198" s="647"/>
    </row>
    <row r="199" spans="51:51">
      <c r="AY199" s="647"/>
    </row>
    <row r="200" spans="51:51">
      <c r="AY200" s="647"/>
    </row>
    <row r="201" spans="51:51">
      <c r="AY201" s="647"/>
    </row>
    <row r="202" spans="51:51">
      <c r="AY202" s="647"/>
    </row>
    <row r="203" spans="51:51">
      <c r="AY203" s="647"/>
    </row>
    <row r="204" spans="51:51">
      <c r="AY204" s="647"/>
    </row>
    <row r="205" spans="51:51">
      <c r="AY205" s="647"/>
    </row>
    <row r="206" spans="51:51">
      <c r="AY206" s="647"/>
    </row>
    <row r="207" spans="51:51">
      <c r="AY207" s="647"/>
    </row>
    <row r="208" spans="51:51">
      <c r="AY208" s="647"/>
    </row>
    <row r="209" spans="51:51">
      <c r="AY209" s="647"/>
    </row>
    <row r="210" spans="51:51">
      <c r="AY210" s="647"/>
    </row>
    <row r="211" spans="51:51">
      <c r="AY211" s="647"/>
    </row>
    <row r="212" spans="51:51">
      <c r="AY212" s="647"/>
    </row>
    <row r="213" spans="51:51">
      <c r="AY213" s="647"/>
    </row>
    <row r="214" spans="51:51">
      <c r="AY214" s="647"/>
    </row>
    <row r="215" spans="51:51">
      <c r="AY215" s="647"/>
    </row>
    <row r="216" spans="51:51">
      <c r="AY216" s="647"/>
    </row>
    <row r="217" spans="51:51">
      <c r="AY217" s="647"/>
    </row>
    <row r="218" spans="51:51">
      <c r="AY218" s="647"/>
    </row>
    <row r="219" spans="51:51">
      <c r="AY219" s="647"/>
    </row>
    <row r="220" spans="51:51">
      <c r="AY220" s="647"/>
    </row>
    <row r="221" spans="51:51">
      <c r="AY221" s="647"/>
    </row>
    <row r="222" spans="51:51">
      <c r="AY222" s="647"/>
    </row>
    <row r="223" spans="51:51">
      <c r="AY223" s="647"/>
    </row>
    <row r="224" spans="51:51">
      <c r="AY224" s="647"/>
    </row>
    <row r="225" spans="51:51">
      <c r="AY225" s="647"/>
    </row>
    <row r="226" spans="51:51">
      <c r="AY226" s="647"/>
    </row>
    <row r="227" spans="51:51">
      <c r="AY227" s="647"/>
    </row>
    <row r="228" spans="51:51">
      <c r="AY228" s="647"/>
    </row>
    <row r="229" spans="51:51">
      <c r="AY229" s="647"/>
    </row>
    <row r="230" spans="51:51">
      <c r="AY230" s="647"/>
    </row>
    <row r="231" spans="51:51">
      <c r="AY231" s="647"/>
    </row>
    <row r="232" spans="51:51">
      <c r="AY232" s="647"/>
    </row>
    <row r="233" spans="51:51">
      <c r="AY233" s="647"/>
    </row>
    <row r="234" spans="51:51">
      <c r="AY234" s="647"/>
    </row>
    <row r="235" spans="51:51">
      <c r="AY235" s="647"/>
    </row>
    <row r="236" spans="51:51">
      <c r="AY236" s="647"/>
    </row>
    <row r="237" spans="51:51">
      <c r="AY237" s="647"/>
    </row>
    <row r="238" spans="51:51">
      <c r="AY238" s="647"/>
    </row>
    <row r="239" spans="51:51">
      <c r="AY239" s="647"/>
    </row>
    <row r="240" spans="51:51">
      <c r="AY240" s="647"/>
    </row>
    <row r="241" spans="51:51">
      <c r="AY241" s="647"/>
    </row>
    <row r="242" spans="51:51">
      <c r="AY242" s="647"/>
    </row>
    <row r="243" spans="51:51">
      <c r="AY243" s="647"/>
    </row>
    <row r="244" spans="51:51">
      <c r="AY244" s="647"/>
    </row>
    <row r="245" spans="51:51">
      <c r="AY245" s="647"/>
    </row>
    <row r="246" spans="51:51">
      <c r="AY246" s="647"/>
    </row>
    <row r="247" spans="51:51">
      <c r="AY247" s="647"/>
    </row>
    <row r="248" spans="51:51">
      <c r="AY248" s="647"/>
    </row>
    <row r="249" spans="51:51">
      <c r="AY249" s="647"/>
    </row>
    <row r="250" spans="51:51">
      <c r="AY250" s="647"/>
    </row>
    <row r="251" spans="51:51">
      <c r="AY251" s="647"/>
    </row>
    <row r="252" spans="51:51">
      <c r="AY252" s="647"/>
    </row>
    <row r="253" spans="51:51">
      <c r="AY253" s="647"/>
    </row>
    <row r="254" spans="51:51">
      <c r="AY254" s="647"/>
    </row>
    <row r="255" spans="51:51">
      <c r="AY255" s="647"/>
    </row>
    <row r="256" spans="51:51">
      <c r="AY256" s="647"/>
    </row>
    <row r="257" spans="51:51">
      <c r="AY257" s="647"/>
    </row>
    <row r="258" spans="51:51">
      <c r="AY258" s="647"/>
    </row>
    <row r="259" spans="51:51">
      <c r="AY259" s="647"/>
    </row>
    <row r="260" spans="51:51">
      <c r="AY260" s="647"/>
    </row>
    <row r="261" spans="51:51">
      <c r="AY261" s="647"/>
    </row>
    <row r="262" spans="51:51">
      <c r="AY262" s="647"/>
    </row>
    <row r="263" spans="51:51">
      <c r="AY263" s="647"/>
    </row>
    <row r="264" spans="51:51">
      <c r="AY264" s="647"/>
    </row>
    <row r="265" spans="51:51">
      <c r="AY265" s="647"/>
    </row>
    <row r="266" spans="51:51">
      <c r="AY266" s="647"/>
    </row>
    <row r="267" spans="51:51">
      <c r="AY267" s="647"/>
    </row>
    <row r="268" spans="51:51">
      <c r="AY268" s="647"/>
    </row>
    <row r="269" spans="51:51">
      <c r="AY269" s="647"/>
    </row>
    <row r="270" spans="51:51">
      <c r="AY270" s="647"/>
    </row>
    <row r="271" spans="51:51">
      <c r="AY271" s="647"/>
    </row>
    <row r="272" spans="51:51">
      <c r="AY272" s="647"/>
    </row>
    <row r="273" spans="51:51">
      <c r="AY273" s="647"/>
    </row>
    <row r="274" spans="51:51">
      <c r="AY274" s="647"/>
    </row>
    <row r="275" spans="51:51">
      <c r="AY275" s="647"/>
    </row>
    <row r="276" spans="51:51">
      <c r="AY276" s="647"/>
    </row>
    <row r="277" spans="51:51">
      <c r="AY277" s="647"/>
    </row>
    <row r="278" spans="51:51">
      <c r="AY278" s="647"/>
    </row>
    <row r="279" spans="51:51">
      <c r="AY279" s="647"/>
    </row>
    <row r="280" spans="51:51">
      <c r="AY280" s="647"/>
    </row>
    <row r="281" spans="51:51">
      <c r="AY281" s="647"/>
    </row>
    <row r="282" spans="51:51">
      <c r="AY282" s="647"/>
    </row>
    <row r="283" spans="51:51">
      <c r="AY283" s="647"/>
    </row>
    <row r="284" spans="51:51">
      <c r="AY284" s="647"/>
    </row>
    <row r="285" spans="51:51">
      <c r="AY285" s="647"/>
    </row>
    <row r="286" spans="51:51">
      <c r="AY286" s="647"/>
    </row>
    <row r="287" spans="51:51">
      <c r="AY287" s="647"/>
    </row>
    <row r="288" spans="51:51">
      <c r="AY288" s="647"/>
    </row>
    <row r="289" spans="51:51">
      <c r="AY289" s="647"/>
    </row>
    <row r="290" spans="51:51">
      <c r="AY290" s="647"/>
    </row>
    <row r="291" spans="51:51">
      <c r="AY291" s="647"/>
    </row>
    <row r="292" spans="51:51">
      <c r="AY292" s="647"/>
    </row>
    <row r="293" spans="51:51">
      <c r="AY293" s="647"/>
    </row>
    <row r="294" spans="51:51">
      <c r="AY294" s="647"/>
    </row>
    <row r="295" spans="51:51">
      <c r="AY295" s="647"/>
    </row>
    <row r="296" spans="51:51">
      <c r="AY296" s="647"/>
    </row>
    <row r="297" spans="51:51">
      <c r="AY297" s="647"/>
    </row>
    <row r="298" spans="51:51">
      <c r="AY298" s="647"/>
    </row>
    <row r="299" spans="51:51">
      <c r="AY299" s="647"/>
    </row>
    <row r="300" spans="51:51">
      <c r="AY300" s="647"/>
    </row>
    <row r="301" spans="51:51">
      <c r="AY301" s="647"/>
    </row>
    <row r="302" spans="51:51">
      <c r="AY302" s="647"/>
    </row>
    <row r="303" spans="51:51">
      <c r="AY303" s="647"/>
    </row>
    <row r="304" spans="51:51">
      <c r="AY304" s="647"/>
    </row>
    <row r="305" spans="51:51">
      <c r="AY305" s="647"/>
    </row>
    <row r="306" spans="51:51">
      <c r="AY306" s="647"/>
    </row>
    <row r="307" spans="51:51">
      <c r="AY307" s="647"/>
    </row>
    <row r="308" spans="51:51">
      <c r="AY308" s="647"/>
    </row>
    <row r="309" spans="51:51">
      <c r="AY309" s="647"/>
    </row>
    <row r="310" spans="51:51">
      <c r="AY310" s="647"/>
    </row>
    <row r="311" spans="51:51">
      <c r="AY311" s="647"/>
    </row>
    <row r="312" spans="51:51">
      <c r="AY312" s="647"/>
    </row>
    <row r="313" spans="51:51">
      <c r="AY313" s="647"/>
    </row>
    <row r="314" spans="51:51">
      <c r="AY314" s="647"/>
    </row>
    <row r="315" spans="51:51">
      <c r="AY315" s="647"/>
    </row>
    <row r="316" spans="51:51">
      <c r="AY316" s="647"/>
    </row>
    <row r="317" spans="51:51">
      <c r="AY317" s="647"/>
    </row>
    <row r="318" spans="51:51">
      <c r="AY318" s="647"/>
    </row>
    <row r="319" spans="51:51">
      <c r="AY319" s="647"/>
    </row>
    <row r="320" spans="51:51">
      <c r="AY320" s="647"/>
    </row>
    <row r="321" spans="51:51">
      <c r="AY321" s="647"/>
    </row>
    <row r="322" spans="51:51">
      <c r="AY322" s="647"/>
    </row>
    <row r="323" spans="51:51">
      <c r="AY323" s="647"/>
    </row>
    <row r="324" spans="51:51">
      <c r="AY324" s="647"/>
    </row>
    <row r="325" spans="51:51">
      <c r="AY325" s="647"/>
    </row>
    <row r="326" spans="51:51">
      <c r="AY326" s="647"/>
    </row>
    <row r="327" spans="51:51">
      <c r="AY327" s="647"/>
    </row>
    <row r="328" spans="51:51">
      <c r="AY328" s="647"/>
    </row>
    <row r="329" spans="51:51">
      <c r="AY329" s="647"/>
    </row>
    <row r="330" spans="51:51">
      <c r="AY330" s="647"/>
    </row>
    <row r="331" spans="51:51">
      <c r="AY331" s="647"/>
    </row>
    <row r="332" spans="51:51">
      <c r="AY332" s="647"/>
    </row>
    <row r="333" spans="51:51">
      <c r="AY333" s="647"/>
    </row>
    <row r="334" spans="51:51">
      <c r="AY334" s="647"/>
    </row>
    <row r="335" spans="51:51">
      <c r="AY335" s="647"/>
    </row>
    <row r="336" spans="51:51">
      <c r="AY336" s="647"/>
    </row>
    <row r="337" spans="51:51">
      <c r="AY337" s="647"/>
    </row>
    <row r="338" spans="51:51">
      <c r="AY338" s="647"/>
    </row>
    <row r="339" spans="51:51">
      <c r="AY339" s="647"/>
    </row>
    <row r="340" spans="51:51">
      <c r="AY340" s="647"/>
    </row>
    <row r="341" spans="51:51">
      <c r="AY341" s="647"/>
    </row>
    <row r="342" spans="51:51">
      <c r="AY342" s="647"/>
    </row>
    <row r="343" spans="51:51">
      <c r="AY343" s="647"/>
    </row>
    <row r="344" spans="51:51">
      <c r="AY344" s="647"/>
    </row>
    <row r="345" spans="51:51">
      <c r="AY345" s="647"/>
    </row>
    <row r="346" spans="51:51">
      <c r="AY346" s="647"/>
    </row>
    <row r="347" spans="51:51">
      <c r="AY347" s="647"/>
    </row>
    <row r="348" spans="51:51">
      <c r="AY348" s="647"/>
    </row>
    <row r="349" spans="51:51">
      <c r="AY349" s="647"/>
    </row>
    <row r="350" spans="51:51">
      <c r="AY350" s="647"/>
    </row>
    <row r="351" spans="51:51">
      <c r="AY351" s="647"/>
    </row>
    <row r="352" spans="51:51">
      <c r="AY352" s="647"/>
    </row>
    <row r="353" spans="51:51">
      <c r="AY353" s="647"/>
    </row>
    <row r="354" spans="51:51">
      <c r="AY354" s="647"/>
    </row>
    <row r="355" spans="51:51">
      <c r="AY355" s="647"/>
    </row>
    <row r="356" spans="51:51">
      <c r="AY356" s="647"/>
    </row>
    <row r="357" spans="51:51">
      <c r="AY357" s="647"/>
    </row>
    <row r="358" spans="51:51">
      <c r="AY358" s="647"/>
    </row>
    <row r="359" spans="51:51">
      <c r="AY359" s="647"/>
    </row>
    <row r="360" spans="51:51">
      <c r="AY360" s="647"/>
    </row>
    <row r="361" spans="51:51">
      <c r="AY361" s="647"/>
    </row>
    <row r="362" spans="51:51">
      <c r="AY362" s="647"/>
    </row>
    <row r="363" spans="51:51">
      <c r="AY363" s="647"/>
    </row>
    <row r="364" spans="51:51">
      <c r="AY364" s="647"/>
    </row>
    <row r="365" spans="51:51">
      <c r="AY365" s="647"/>
    </row>
    <row r="366" spans="51:51">
      <c r="AY366" s="647"/>
    </row>
    <row r="367" spans="51:51">
      <c r="AY367" s="647"/>
    </row>
    <row r="368" spans="51:51">
      <c r="AY368" s="647"/>
    </row>
    <row r="369" spans="51:51">
      <c r="AY369" s="647"/>
    </row>
    <row r="370" spans="51:51">
      <c r="AY370" s="647"/>
    </row>
    <row r="371" spans="51:51">
      <c r="AY371" s="647"/>
    </row>
    <row r="372" spans="51:51">
      <c r="AY372" s="647"/>
    </row>
    <row r="373" spans="51:51">
      <c r="AY373" s="647"/>
    </row>
    <row r="374" spans="51:51">
      <c r="AY374" s="647"/>
    </row>
    <row r="375" spans="51:51">
      <c r="AY375" s="647"/>
    </row>
    <row r="376" spans="51:51">
      <c r="AY376" s="647"/>
    </row>
    <row r="377" spans="51:51">
      <c r="AY377" s="647"/>
    </row>
    <row r="378" spans="51:51">
      <c r="AY378" s="647"/>
    </row>
    <row r="379" spans="51:51">
      <c r="AY379" s="647"/>
    </row>
    <row r="380" spans="51:51">
      <c r="AY380" s="647"/>
    </row>
    <row r="381" spans="51:51">
      <c r="AY381" s="647"/>
    </row>
    <row r="382" spans="51:51">
      <c r="AY382" s="647"/>
    </row>
    <row r="383" spans="51:51">
      <c r="AY383" s="647"/>
    </row>
    <row r="384" spans="51:51">
      <c r="AY384" s="647"/>
    </row>
    <row r="385" spans="51:51">
      <c r="AY385" s="647"/>
    </row>
    <row r="386" spans="51:51">
      <c r="AY386" s="647"/>
    </row>
    <row r="387" spans="51:51">
      <c r="AY387" s="647"/>
    </row>
    <row r="388" spans="51:51">
      <c r="AY388" s="647"/>
    </row>
    <row r="389" spans="51:51">
      <c r="AY389" s="647"/>
    </row>
    <row r="390" spans="51:51">
      <c r="AY390" s="647"/>
    </row>
    <row r="391" spans="51:51">
      <c r="AY391" s="647"/>
    </row>
    <row r="392" spans="51:51">
      <c r="AY392" s="647"/>
    </row>
    <row r="393" spans="51:51">
      <c r="AY393" s="647"/>
    </row>
    <row r="394" spans="51:51">
      <c r="AY394" s="647"/>
    </row>
    <row r="395" spans="51:51">
      <c r="AY395" s="647"/>
    </row>
    <row r="396" spans="51:51">
      <c r="AY396" s="647"/>
    </row>
    <row r="397" spans="51:51">
      <c r="AY397" s="647"/>
    </row>
    <row r="398" spans="51:51">
      <c r="AY398" s="647"/>
    </row>
    <row r="399" spans="51:51">
      <c r="AY399" s="647"/>
    </row>
    <row r="400" spans="51:51">
      <c r="AY400" s="647"/>
    </row>
    <row r="401" spans="51:51">
      <c r="AY401" s="647"/>
    </row>
    <row r="402" spans="51:51">
      <c r="AY402" s="647"/>
    </row>
    <row r="403" spans="51:51">
      <c r="AY403" s="647"/>
    </row>
    <row r="404" spans="51:51">
      <c r="AY404" s="647"/>
    </row>
    <row r="405" spans="51:51">
      <c r="AY405" s="647"/>
    </row>
    <row r="406" spans="51:51">
      <c r="AY406" s="647"/>
    </row>
    <row r="407" spans="51:51">
      <c r="AY407" s="647"/>
    </row>
    <row r="408" spans="51:51">
      <c r="AY408" s="647"/>
    </row>
    <row r="409" spans="51:51">
      <c r="AY409" s="647"/>
    </row>
    <row r="410" spans="51:51">
      <c r="AY410" s="647"/>
    </row>
    <row r="411" spans="51:51">
      <c r="AY411" s="647"/>
    </row>
    <row r="412" spans="51:51">
      <c r="AY412" s="647"/>
    </row>
    <row r="413" spans="51:51">
      <c r="AY413" s="647"/>
    </row>
    <row r="414" spans="51:51">
      <c r="AY414" s="647"/>
    </row>
    <row r="415" spans="51:51">
      <c r="AY415" s="647"/>
    </row>
    <row r="416" spans="51:51">
      <c r="AY416" s="647"/>
    </row>
    <row r="417" spans="51:51">
      <c r="AY417" s="647"/>
    </row>
    <row r="418" spans="51:51">
      <c r="AY418" s="647"/>
    </row>
    <row r="419" spans="51:51">
      <c r="AY419" s="647"/>
    </row>
    <row r="420" spans="51:51">
      <c r="AY420" s="647"/>
    </row>
    <row r="421" spans="51:51">
      <c r="AY421" s="647"/>
    </row>
    <row r="422" spans="51:51">
      <c r="AY422" s="647"/>
    </row>
    <row r="423" spans="51:51">
      <c r="AY423" s="647"/>
    </row>
    <row r="424" spans="51:51">
      <c r="AY424" s="647"/>
    </row>
    <row r="425" spans="51:51">
      <c r="AY425" s="647"/>
    </row>
    <row r="426" spans="51:51">
      <c r="AY426" s="647"/>
    </row>
    <row r="427" spans="51:51">
      <c r="AY427" s="647"/>
    </row>
    <row r="428" spans="51:51">
      <c r="AY428" s="647"/>
    </row>
    <row r="429" spans="51:51">
      <c r="AY429" s="647"/>
    </row>
    <row r="430" spans="51:51">
      <c r="AY430" s="647"/>
    </row>
    <row r="431" spans="51:51">
      <c r="AY431" s="647"/>
    </row>
    <row r="432" spans="51:51">
      <c r="AY432" s="647"/>
    </row>
    <row r="433" spans="51:51">
      <c r="AY433" s="647"/>
    </row>
    <row r="434" spans="51:51">
      <c r="AY434" s="647"/>
    </row>
    <row r="435" spans="51:51">
      <c r="AY435" s="647"/>
    </row>
    <row r="436" spans="51:51">
      <c r="AY436" s="647"/>
    </row>
    <row r="437" spans="51:51">
      <c r="AY437" s="647"/>
    </row>
    <row r="438" spans="51:51">
      <c r="AY438" s="647"/>
    </row>
    <row r="439" spans="51:51">
      <c r="AY439" s="647"/>
    </row>
    <row r="440" spans="51:51">
      <c r="AY440" s="647"/>
    </row>
    <row r="441" spans="51:51">
      <c r="AY441" s="647"/>
    </row>
    <row r="442" spans="51:51">
      <c r="AY442" s="647"/>
    </row>
    <row r="443" spans="51:51">
      <c r="AY443" s="647"/>
    </row>
    <row r="444" spans="51:51">
      <c r="AY444" s="647"/>
    </row>
    <row r="445" spans="51:51">
      <c r="AY445" s="647"/>
    </row>
    <row r="446" spans="51:51">
      <c r="AY446" s="647"/>
    </row>
    <row r="447" spans="51:51">
      <c r="AY447" s="647"/>
    </row>
    <row r="448" spans="51:51">
      <c r="AY448" s="647"/>
    </row>
    <row r="449" spans="51:51">
      <c r="AY449" s="647"/>
    </row>
    <row r="450" spans="51:51">
      <c r="AY450" s="647"/>
    </row>
    <row r="451" spans="51:51">
      <c r="AY451" s="647"/>
    </row>
    <row r="452" spans="51:51">
      <c r="AY452" s="647"/>
    </row>
    <row r="453" spans="51:51">
      <c r="AY453" s="647"/>
    </row>
    <row r="454" spans="51:51">
      <c r="AY454" s="647"/>
    </row>
    <row r="455" spans="51:51">
      <c r="AY455" s="647"/>
    </row>
    <row r="456" spans="51:51">
      <c r="AY456" s="647"/>
    </row>
    <row r="457" spans="51:51">
      <c r="AY457" s="647"/>
    </row>
    <row r="458" spans="51:51">
      <c r="AY458" s="647"/>
    </row>
    <row r="459" spans="51:51">
      <c r="AY459" s="647"/>
    </row>
    <row r="460" spans="51:51">
      <c r="AY460" s="647"/>
    </row>
    <row r="461" spans="51:51">
      <c r="AY461" s="647"/>
    </row>
    <row r="462" spans="51:51">
      <c r="AY462" s="647"/>
    </row>
    <row r="463" spans="51:51">
      <c r="AY463" s="647"/>
    </row>
    <row r="464" spans="51:51">
      <c r="AY464" s="647"/>
    </row>
    <row r="465" spans="51:51">
      <c r="AY465" s="647"/>
    </row>
    <row r="466" spans="51:51">
      <c r="AY466" s="647"/>
    </row>
    <row r="467" spans="51:51">
      <c r="AY467" s="647"/>
    </row>
    <row r="468" spans="51:51">
      <c r="AY468" s="647"/>
    </row>
    <row r="469" spans="51:51">
      <c r="AY469" s="647"/>
    </row>
    <row r="470" spans="51:51">
      <c r="AY470" s="647"/>
    </row>
    <row r="471" spans="51:51">
      <c r="AY471" s="647"/>
    </row>
    <row r="472" spans="51:51">
      <c r="AY472" s="647"/>
    </row>
    <row r="473" spans="51:51">
      <c r="AY473" s="647"/>
    </row>
    <row r="474" spans="51:51">
      <c r="AY474" s="647"/>
    </row>
    <row r="475" spans="51:51">
      <c r="AY475" s="647"/>
    </row>
    <row r="476" spans="51:51">
      <c r="AY476" s="647"/>
    </row>
    <row r="477" spans="51:51">
      <c r="AY477" s="647"/>
    </row>
    <row r="478" spans="51:51">
      <c r="AY478" s="647"/>
    </row>
    <row r="479" spans="51:51">
      <c r="AY479" s="647"/>
    </row>
    <row r="480" spans="51:51">
      <c r="AY480" s="647"/>
    </row>
    <row r="481" spans="51:51">
      <c r="AY481" s="647"/>
    </row>
    <row r="482" spans="51:51">
      <c r="AY482" s="647"/>
    </row>
    <row r="483" spans="51:51">
      <c r="AY483" s="647"/>
    </row>
    <row r="484" spans="51:51">
      <c r="AY484" s="647"/>
    </row>
    <row r="485" spans="51:51">
      <c r="AY485" s="647"/>
    </row>
    <row r="486" spans="51:51">
      <c r="AY486" s="647"/>
    </row>
    <row r="487" spans="51:51">
      <c r="AY487" s="647"/>
    </row>
    <row r="488" spans="51:51">
      <c r="AY488" s="647"/>
    </row>
    <row r="489" spans="51:51">
      <c r="AY489" s="647"/>
    </row>
    <row r="490" spans="51:51">
      <c r="AY490" s="647"/>
    </row>
    <row r="491" spans="51:51">
      <c r="AY491" s="647"/>
    </row>
    <row r="492" spans="51:51">
      <c r="AY492" s="647"/>
    </row>
    <row r="493" spans="51:51">
      <c r="AY493" s="647"/>
    </row>
    <row r="494" spans="51:51">
      <c r="AY494" s="647"/>
    </row>
    <row r="495" spans="51:51">
      <c r="AY495" s="647"/>
    </row>
    <row r="496" spans="51:51">
      <c r="AY496" s="647"/>
    </row>
    <row r="497" spans="51:51">
      <c r="AY497" s="647"/>
    </row>
    <row r="498" spans="51:51">
      <c r="AY498" s="647"/>
    </row>
    <row r="499" spans="51:51">
      <c r="AY499" s="647"/>
    </row>
    <row r="500" spans="51:51">
      <c r="AY500" s="647"/>
    </row>
    <row r="501" spans="51:51">
      <c r="AY501" s="647"/>
    </row>
    <row r="502" spans="51:51">
      <c r="AY502" s="647"/>
    </row>
    <row r="503" spans="51:51">
      <c r="AY503" s="647"/>
    </row>
    <row r="504" spans="51:51">
      <c r="AY504" s="647"/>
    </row>
    <row r="505" spans="51:51">
      <c r="AY505" s="647"/>
    </row>
    <row r="506" spans="51:51">
      <c r="AY506" s="647"/>
    </row>
    <row r="507" spans="51:51">
      <c r="AY507" s="647"/>
    </row>
    <row r="508" spans="51:51">
      <c r="AY508" s="647"/>
    </row>
    <row r="509" spans="51:51">
      <c r="AY509" s="647"/>
    </row>
    <row r="510" spans="51:51">
      <c r="AY510" s="647"/>
    </row>
    <row r="511" spans="51:51">
      <c r="AY511" s="647"/>
    </row>
    <row r="512" spans="51:51">
      <c r="AY512" s="647"/>
    </row>
    <row r="513" spans="51:51">
      <c r="AY513" s="647"/>
    </row>
    <row r="514" spans="51:51">
      <c r="AY514" s="647"/>
    </row>
    <row r="515" spans="51:51">
      <c r="AY515" s="647"/>
    </row>
    <row r="516" spans="51:51">
      <c r="AY516" s="647"/>
    </row>
    <row r="517" spans="51:51">
      <c r="AY517" s="647"/>
    </row>
    <row r="518" spans="51:51">
      <c r="AY518" s="647"/>
    </row>
    <row r="519" spans="51:51">
      <c r="AY519" s="647"/>
    </row>
    <row r="520" spans="51:51">
      <c r="AY520" s="647"/>
    </row>
    <row r="521" spans="51:51">
      <c r="AY521" s="647"/>
    </row>
    <row r="522" spans="51:51">
      <c r="AY522" s="647"/>
    </row>
    <row r="523" spans="51:51">
      <c r="AY523" s="647"/>
    </row>
    <row r="524" spans="51:51">
      <c r="AY524" s="647"/>
    </row>
    <row r="525" spans="51:51">
      <c r="AY525" s="647"/>
    </row>
    <row r="526" spans="51:51">
      <c r="AY526" s="647"/>
    </row>
    <row r="527" spans="51:51">
      <c r="AY527" s="647"/>
    </row>
    <row r="528" spans="51:51">
      <c r="AY528" s="647"/>
    </row>
    <row r="529" spans="51:51">
      <c r="AY529" s="647"/>
    </row>
    <row r="530" spans="51:51">
      <c r="AY530" s="647"/>
    </row>
    <row r="531" spans="51:51">
      <c r="AY531" s="647"/>
    </row>
    <row r="532" spans="51:51">
      <c r="AY532" s="647"/>
    </row>
    <row r="533" spans="51:51">
      <c r="AY533" s="647"/>
    </row>
    <row r="534" spans="51:51">
      <c r="AY534" s="647"/>
    </row>
    <row r="535" spans="51:51">
      <c r="AY535" s="647"/>
    </row>
    <row r="536" spans="51:51">
      <c r="AY536" s="647"/>
    </row>
    <row r="537" spans="51:51">
      <c r="AY537" s="647"/>
    </row>
    <row r="538" spans="51:51">
      <c r="AY538" s="647"/>
    </row>
    <row r="539" spans="51:51">
      <c r="AY539" s="647"/>
    </row>
    <row r="540" spans="51:51">
      <c r="AY540" s="647"/>
    </row>
    <row r="541" spans="51:51">
      <c r="AY541" s="647"/>
    </row>
    <row r="542" spans="51:51">
      <c r="AY542" s="647"/>
    </row>
    <row r="543" spans="51:51">
      <c r="AY543" s="647"/>
    </row>
    <row r="544" spans="51:51">
      <c r="AY544" s="647"/>
    </row>
    <row r="545" spans="51:51">
      <c r="AY545" s="647"/>
    </row>
    <row r="546" spans="51:51">
      <c r="AY546" s="647"/>
    </row>
    <row r="547" spans="51:51">
      <c r="AY547" s="647"/>
    </row>
    <row r="548" spans="51:51">
      <c r="AY548" s="647"/>
    </row>
    <row r="549" spans="51:51">
      <c r="AY549" s="647"/>
    </row>
    <row r="550" spans="51:51">
      <c r="AY550" s="647"/>
    </row>
    <row r="551" spans="51:51">
      <c r="AY551" s="647"/>
    </row>
    <row r="552" spans="51:51">
      <c r="AY552" s="647"/>
    </row>
    <row r="553" spans="51:51">
      <c r="AY553" s="647"/>
    </row>
    <row r="554" spans="51:51">
      <c r="AY554" s="647"/>
    </row>
    <row r="555" spans="51:51">
      <c r="AY555" s="647"/>
    </row>
    <row r="556" spans="51:51">
      <c r="AY556" s="647"/>
    </row>
    <row r="557" spans="51:51">
      <c r="AY557" s="647"/>
    </row>
    <row r="558" spans="51:51">
      <c r="AY558" s="647"/>
    </row>
    <row r="559" spans="51:51">
      <c r="AY559" s="647"/>
    </row>
    <row r="560" spans="51:51">
      <c r="AY560" s="647"/>
    </row>
    <row r="561" spans="51:51">
      <c r="AY561" s="647"/>
    </row>
    <row r="562" spans="51:51">
      <c r="AY562" s="647"/>
    </row>
    <row r="563" spans="51:51">
      <c r="AY563" s="647"/>
    </row>
    <row r="564" spans="51:51">
      <c r="AY564" s="647"/>
    </row>
    <row r="565" spans="51:51">
      <c r="AY565" s="647"/>
    </row>
    <row r="566" spans="51:51">
      <c r="AY566" s="647"/>
    </row>
    <row r="567" spans="51:51">
      <c r="AY567" s="647"/>
    </row>
    <row r="568" spans="51:51">
      <c r="AY568" s="647"/>
    </row>
    <row r="569" spans="51:51">
      <c r="AY569" s="647"/>
    </row>
    <row r="570" spans="51:51">
      <c r="AY570" s="647"/>
    </row>
    <row r="571" spans="51:51">
      <c r="AY571" s="647"/>
    </row>
    <row r="572" spans="51:51">
      <c r="AY572" s="647"/>
    </row>
    <row r="573" spans="51:51">
      <c r="AY573" s="647"/>
    </row>
    <row r="574" spans="51:51">
      <c r="AY574" s="647"/>
    </row>
    <row r="575" spans="51:51">
      <c r="AY575" s="647"/>
    </row>
    <row r="576" spans="51:51">
      <c r="AY576" s="647"/>
    </row>
    <row r="577" spans="51:51">
      <c r="AY577" s="647"/>
    </row>
    <row r="578" spans="51:51">
      <c r="AY578" s="647"/>
    </row>
    <row r="579" spans="51:51">
      <c r="AY579" s="647"/>
    </row>
    <row r="580" spans="51:51">
      <c r="AY580" s="647"/>
    </row>
    <row r="581" spans="51:51">
      <c r="AY581" s="647"/>
    </row>
    <row r="582" spans="51:51">
      <c r="AY582" s="647"/>
    </row>
    <row r="583" spans="51:51">
      <c r="AY583" s="647"/>
    </row>
    <row r="584" spans="51:51">
      <c r="AY584" s="647"/>
    </row>
    <row r="585" spans="51:51">
      <c r="AY585" s="647"/>
    </row>
    <row r="586" spans="51:51">
      <c r="AY586" s="647"/>
    </row>
    <row r="587" spans="51:51">
      <c r="AY587" s="647"/>
    </row>
    <row r="588" spans="51:51">
      <c r="AY588" s="647"/>
    </row>
    <row r="589" spans="51:51">
      <c r="AY589" s="647"/>
    </row>
    <row r="590" spans="51:51">
      <c r="AY590" s="647"/>
    </row>
    <row r="591" spans="51:51">
      <c r="AY591" s="647"/>
    </row>
    <row r="592" spans="51:51">
      <c r="AY592" s="647"/>
    </row>
    <row r="593" spans="51:51">
      <c r="AY593" s="647"/>
    </row>
    <row r="594" spans="51:51">
      <c r="AY594" s="647"/>
    </row>
    <row r="595" spans="51:51">
      <c r="AY595" s="647"/>
    </row>
    <row r="596" spans="51:51">
      <c r="AY596" s="647"/>
    </row>
    <row r="597" spans="51:51">
      <c r="AY597" s="647"/>
    </row>
    <row r="598" spans="51:51">
      <c r="AY598" s="647"/>
    </row>
    <row r="599" spans="51:51">
      <c r="AY599" s="647"/>
    </row>
    <row r="600" spans="51:51">
      <c r="AY600" s="647"/>
    </row>
    <row r="601" spans="51:51">
      <c r="AY601" s="647"/>
    </row>
    <row r="602" spans="51:51">
      <c r="AY602" s="647"/>
    </row>
    <row r="603" spans="51:51">
      <c r="AY603" s="647"/>
    </row>
    <row r="604" spans="51:51">
      <c r="AY604" s="647"/>
    </row>
    <row r="605" spans="51:51">
      <c r="AY605" s="647"/>
    </row>
    <row r="606" spans="51:51">
      <c r="AY606" s="647"/>
    </row>
    <row r="607" spans="51:51">
      <c r="AY607" s="647"/>
    </row>
    <row r="608" spans="51:51">
      <c r="AY608" s="647"/>
    </row>
    <row r="609" spans="51:51">
      <c r="AY609" s="647"/>
    </row>
    <row r="610" spans="51:51">
      <c r="AY610" s="647"/>
    </row>
    <row r="611" spans="51:51">
      <c r="AY611" s="647"/>
    </row>
    <row r="612" spans="51:51">
      <c r="AY612" s="647"/>
    </row>
    <row r="613" spans="51:51">
      <c r="AY613" s="647"/>
    </row>
    <row r="614" spans="51:51">
      <c r="AY614" s="647"/>
    </row>
    <row r="615" spans="51:51">
      <c r="AY615" s="647"/>
    </row>
    <row r="616" spans="51:51">
      <c r="AY616" s="647"/>
    </row>
    <row r="617" spans="51:51">
      <c r="AY617" s="647"/>
    </row>
    <row r="618" spans="51:51">
      <c r="AY618" s="647"/>
    </row>
    <row r="619" spans="51:51">
      <c r="AY619" s="647"/>
    </row>
    <row r="620" spans="51:51">
      <c r="AY620" s="647"/>
    </row>
    <row r="621" spans="51:51">
      <c r="AY621" s="647"/>
    </row>
    <row r="622" spans="51:51">
      <c r="AY622" s="647"/>
    </row>
    <row r="623" spans="51:51">
      <c r="AY623" s="647"/>
    </row>
    <row r="624" spans="51:51">
      <c r="AY624" s="647"/>
    </row>
    <row r="625" spans="51:51">
      <c r="AY625" s="647"/>
    </row>
    <row r="626" spans="51:51">
      <c r="AY626" s="647"/>
    </row>
    <row r="627" spans="51:51">
      <c r="AY627" s="647"/>
    </row>
    <row r="628" spans="51:51">
      <c r="AY628" s="647"/>
    </row>
    <row r="629" spans="51:51">
      <c r="AY629" s="647"/>
    </row>
    <row r="630" spans="51:51">
      <c r="AY630" s="647"/>
    </row>
    <row r="631" spans="51:51">
      <c r="AY631" s="647"/>
    </row>
    <row r="632" spans="51:51">
      <c r="AY632" s="647"/>
    </row>
    <row r="633" spans="51:51">
      <c r="AY633" s="647"/>
    </row>
    <row r="634" spans="51:51">
      <c r="AY634" s="647"/>
    </row>
    <row r="635" spans="51:51">
      <c r="AY635" s="647"/>
    </row>
    <row r="636" spans="51:51">
      <c r="AY636" s="647"/>
    </row>
    <row r="637" spans="51:51">
      <c r="AY637" s="647"/>
    </row>
    <row r="638" spans="51:51">
      <c r="AY638" s="647"/>
    </row>
    <row r="639" spans="51:51">
      <c r="AY639" s="647"/>
    </row>
    <row r="640" spans="51:51">
      <c r="AY640" s="647"/>
    </row>
    <row r="641" spans="51:51">
      <c r="AY641" s="647"/>
    </row>
    <row r="642" spans="51:51">
      <c r="AY642" s="647"/>
    </row>
    <row r="643" spans="51:51">
      <c r="AY643" s="647"/>
    </row>
    <row r="644" spans="51:51">
      <c r="AY644" s="647"/>
    </row>
    <row r="645" spans="51:51">
      <c r="AY645" s="647"/>
    </row>
    <row r="646" spans="51:51">
      <c r="AY646" s="647"/>
    </row>
    <row r="647" spans="51:51">
      <c r="AY647" s="647"/>
    </row>
    <row r="648" spans="51:51">
      <c r="AY648" s="647"/>
    </row>
    <row r="649" spans="51:51">
      <c r="AY649" s="647"/>
    </row>
    <row r="650" spans="51:51">
      <c r="AY650" s="647"/>
    </row>
    <row r="651" spans="51:51">
      <c r="AY651" s="647"/>
    </row>
    <row r="652" spans="51:51">
      <c r="AY652" s="647"/>
    </row>
    <row r="653" spans="51:51">
      <c r="AY653" s="647"/>
    </row>
    <row r="654" spans="51:51">
      <c r="AY654" s="647"/>
    </row>
    <row r="655" spans="51:51">
      <c r="AY655" s="647"/>
    </row>
    <row r="656" spans="51:51">
      <c r="AY656" s="647"/>
    </row>
    <row r="657" spans="51:51">
      <c r="AY657" s="647"/>
    </row>
    <row r="658" spans="51:51">
      <c r="AY658" s="647"/>
    </row>
    <row r="659" spans="51:51">
      <c r="AY659" s="647"/>
    </row>
    <row r="660" spans="51:51">
      <c r="AY660" s="647"/>
    </row>
    <row r="661" spans="51:51">
      <c r="AY661" s="647"/>
    </row>
    <row r="662" spans="51:51">
      <c r="AY662" s="647"/>
    </row>
    <row r="663" spans="51:51">
      <c r="AY663" s="647"/>
    </row>
    <row r="664" spans="51:51">
      <c r="AY664" s="647"/>
    </row>
    <row r="665" spans="51:51">
      <c r="AY665" s="647"/>
    </row>
    <row r="666" spans="51:51">
      <c r="AY666" s="647"/>
    </row>
    <row r="667" spans="51:51">
      <c r="AY667" s="647"/>
    </row>
    <row r="668" spans="51:51">
      <c r="AY668" s="647"/>
    </row>
    <row r="669" spans="51:51">
      <c r="AY669" s="647"/>
    </row>
    <row r="670" spans="51:51">
      <c r="AY670" s="647"/>
    </row>
    <row r="671" spans="51:51">
      <c r="AY671" s="647"/>
    </row>
    <row r="672" spans="51:51">
      <c r="AY672" s="647"/>
    </row>
    <row r="673" spans="51:51">
      <c r="AY673" s="647"/>
    </row>
    <row r="674" spans="51:51">
      <c r="AY674" s="647"/>
    </row>
    <row r="675" spans="51:51">
      <c r="AY675" s="647"/>
    </row>
    <row r="676" spans="51:51">
      <c r="AY676" s="647"/>
    </row>
    <row r="677" spans="51:51">
      <c r="AY677" s="647"/>
    </row>
    <row r="678" spans="51:51">
      <c r="AY678" s="647"/>
    </row>
    <row r="679" spans="51:51">
      <c r="AY679" s="647"/>
    </row>
    <row r="680" spans="51:51">
      <c r="AY680" s="647"/>
    </row>
    <row r="681" spans="51:51">
      <c r="AY681" s="647"/>
    </row>
    <row r="682" spans="51:51">
      <c r="AY682" s="647"/>
    </row>
    <row r="683" spans="51:51">
      <c r="AY683" s="647"/>
    </row>
    <row r="684" spans="51:51">
      <c r="AY684" s="647"/>
    </row>
    <row r="685" spans="51:51">
      <c r="AY685" s="647"/>
    </row>
    <row r="686" spans="51:51">
      <c r="AY686" s="647"/>
    </row>
    <row r="687" spans="51:51">
      <c r="AY687" s="647"/>
    </row>
    <row r="688" spans="51:51">
      <c r="AY688" s="647"/>
    </row>
    <row r="689" spans="51:51">
      <c r="AY689" s="647"/>
    </row>
    <row r="690" spans="51:51">
      <c r="AY690" s="647"/>
    </row>
    <row r="691" spans="51:51">
      <c r="AY691" s="647"/>
    </row>
    <row r="692" spans="51:51">
      <c r="AY692" s="647"/>
    </row>
    <row r="693" spans="51:51">
      <c r="AY693" s="647"/>
    </row>
    <row r="694" spans="51:51">
      <c r="AY694" s="647"/>
    </row>
    <row r="695" spans="51:51">
      <c r="AY695" s="647"/>
    </row>
    <row r="696" spans="51:51">
      <c r="AY696" s="647"/>
    </row>
    <row r="697" spans="51:51">
      <c r="AY697" s="647"/>
    </row>
    <row r="698" spans="51:51">
      <c r="AY698" s="647"/>
    </row>
    <row r="699" spans="51:51">
      <c r="AY699" s="647"/>
    </row>
    <row r="700" spans="51:51">
      <c r="AY700" s="647"/>
    </row>
    <row r="701" spans="51:51">
      <c r="AY701" s="647"/>
    </row>
    <row r="702" spans="51:51">
      <c r="AY702" s="647"/>
    </row>
    <row r="703" spans="51:51">
      <c r="AY703" s="647"/>
    </row>
    <row r="704" spans="51:51">
      <c r="AY704" s="647"/>
    </row>
    <row r="705" spans="51:51">
      <c r="AY705" s="647"/>
    </row>
    <row r="706" spans="51:51">
      <c r="AY706" s="647"/>
    </row>
    <row r="707" spans="51:51">
      <c r="AY707" s="647"/>
    </row>
    <row r="708" spans="51:51">
      <c r="AY708" s="647"/>
    </row>
    <row r="709" spans="51:51">
      <c r="AY709" s="647"/>
    </row>
    <row r="710" spans="51:51">
      <c r="AY710" s="647"/>
    </row>
    <row r="711" spans="51:51">
      <c r="AY711" s="647"/>
    </row>
    <row r="712" spans="51:51">
      <c r="AY712" s="647"/>
    </row>
    <row r="713" spans="51:51">
      <c r="AY713" s="647"/>
    </row>
    <row r="714" spans="51:51">
      <c r="AY714" s="647"/>
    </row>
    <row r="715" spans="51:51">
      <c r="AY715" s="647"/>
    </row>
    <row r="716" spans="51:51">
      <c r="AY716" s="647"/>
    </row>
    <row r="717" spans="51:51">
      <c r="AY717" s="647"/>
    </row>
    <row r="718" spans="51:51">
      <c r="AY718" s="647"/>
    </row>
    <row r="719" spans="51:51">
      <c r="AY719" s="647"/>
    </row>
    <row r="720" spans="51:51">
      <c r="AY720" s="647"/>
    </row>
    <row r="721" spans="51:51">
      <c r="AY721" s="647"/>
    </row>
    <row r="722" spans="51:51">
      <c r="AY722" s="647"/>
    </row>
    <row r="723" spans="51:51">
      <c r="AY723" s="647"/>
    </row>
    <row r="724" spans="51:51">
      <c r="AY724" s="647"/>
    </row>
    <row r="725" spans="51:51">
      <c r="AY725" s="647"/>
    </row>
    <row r="726" spans="51:51">
      <c r="AY726" s="647"/>
    </row>
    <row r="727" spans="51:51">
      <c r="AY727" s="647"/>
    </row>
    <row r="728" spans="51:51">
      <c r="AY728" s="647"/>
    </row>
    <row r="729" spans="51:51">
      <c r="AY729" s="647"/>
    </row>
    <row r="730" spans="51:51">
      <c r="AY730" s="647"/>
    </row>
    <row r="731" spans="51:51">
      <c r="AY731" s="647"/>
    </row>
    <row r="732" spans="51:51">
      <c r="AY732" s="647"/>
    </row>
    <row r="733" spans="51:51">
      <c r="AY733" s="647"/>
    </row>
    <row r="734" spans="51:51">
      <c r="AY734" s="647"/>
    </row>
    <row r="735" spans="51:51">
      <c r="AY735" s="647"/>
    </row>
    <row r="736" spans="51:51">
      <c r="AY736" s="647"/>
    </row>
    <row r="737" spans="51:51">
      <c r="AY737" s="647"/>
    </row>
    <row r="738" spans="51:51">
      <c r="AY738" s="647"/>
    </row>
    <row r="739" spans="51:51">
      <c r="AY739" s="647"/>
    </row>
    <row r="740" spans="51:51">
      <c r="AY740" s="647"/>
    </row>
    <row r="741" spans="51:51">
      <c r="AY741" s="647"/>
    </row>
    <row r="742" spans="51:51">
      <c r="AY742" s="647"/>
    </row>
    <row r="743" spans="51:51">
      <c r="AY743" s="647"/>
    </row>
    <row r="744" spans="51:51">
      <c r="AY744" s="647"/>
    </row>
    <row r="745" spans="51:51">
      <c r="AY745" s="647"/>
    </row>
    <row r="746" spans="51:51">
      <c r="AY746" s="647"/>
    </row>
    <row r="747" spans="51:51">
      <c r="AY747" s="647"/>
    </row>
    <row r="748" spans="51:51">
      <c r="AY748" s="647"/>
    </row>
    <row r="749" spans="51:51">
      <c r="AY749" s="647"/>
    </row>
    <row r="750" spans="51:51">
      <c r="AY750" s="647"/>
    </row>
    <row r="751" spans="51:51">
      <c r="AY751" s="647"/>
    </row>
    <row r="752" spans="51:51">
      <c r="AY752" s="647"/>
    </row>
    <row r="753" spans="51:51">
      <c r="AY753" s="647"/>
    </row>
    <row r="754" spans="51:51">
      <c r="AY754" s="647"/>
    </row>
    <row r="755" spans="51:51">
      <c r="AY755" s="647"/>
    </row>
    <row r="756" spans="51:51">
      <c r="AY756" s="647"/>
    </row>
    <row r="757" spans="51:51">
      <c r="AY757" s="647"/>
    </row>
    <row r="758" spans="51:51">
      <c r="AY758" s="647"/>
    </row>
    <row r="759" spans="51:51">
      <c r="AY759" s="647"/>
    </row>
    <row r="760" spans="51:51">
      <c r="AY760" s="647"/>
    </row>
    <row r="761" spans="51:51">
      <c r="AY761" s="647"/>
    </row>
    <row r="762" spans="51:51">
      <c r="AY762" s="647"/>
    </row>
    <row r="763" spans="51:51">
      <c r="AY763" s="647"/>
    </row>
    <row r="764" spans="51:51">
      <c r="AY764" s="647"/>
    </row>
    <row r="765" spans="51:51">
      <c r="AY765" s="647"/>
    </row>
    <row r="766" spans="51:51">
      <c r="AY766" s="647"/>
    </row>
    <row r="767" spans="51:51">
      <c r="AY767" s="647"/>
    </row>
    <row r="768" spans="51:51">
      <c r="AY768" s="647"/>
    </row>
    <row r="769" spans="51:51">
      <c r="AY769" s="647"/>
    </row>
    <row r="770" spans="51:51">
      <c r="AY770" s="647"/>
    </row>
    <row r="771" spans="51:51">
      <c r="AY771" s="647"/>
    </row>
    <row r="772" spans="51:51">
      <c r="AY772" s="647"/>
    </row>
    <row r="773" spans="51:51">
      <c r="AY773" s="647"/>
    </row>
    <row r="774" spans="51:51">
      <c r="AY774" s="647"/>
    </row>
    <row r="775" spans="51:51">
      <c r="AY775" s="647"/>
    </row>
    <row r="776" spans="51:51">
      <c r="AY776" s="647"/>
    </row>
    <row r="777" spans="51:51">
      <c r="AY777" s="647"/>
    </row>
    <row r="778" spans="51:51">
      <c r="AY778" s="647"/>
    </row>
    <row r="779" spans="51:51">
      <c r="AY779" s="647"/>
    </row>
    <row r="780" spans="51:51">
      <c r="AY780" s="647"/>
    </row>
    <row r="781" spans="51:51">
      <c r="AY781" s="647"/>
    </row>
    <row r="782" spans="51:51">
      <c r="AY782" s="647"/>
    </row>
    <row r="783" spans="51:51">
      <c r="AY783" s="647"/>
    </row>
    <row r="784" spans="51:51">
      <c r="AY784" s="647"/>
    </row>
    <row r="785" spans="51:51">
      <c r="AY785" s="647"/>
    </row>
    <row r="786" spans="51:51">
      <c r="AY786" s="647"/>
    </row>
    <row r="787" spans="51:51">
      <c r="AY787" s="647"/>
    </row>
    <row r="788" spans="51:51">
      <c r="AY788" s="647"/>
    </row>
    <row r="789" spans="51:51">
      <c r="AY789" s="647"/>
    </row>
    <row r="790" spans="51:51">
      <c r="AY790" s="647"/>
    </row>
    <row r="791" spans="51:51">
      <c r="AY791" s="647"/>
    </row>
    <row r="792" spans="51:51">
      <c r="AY792" s="647"/>
    </row>
    <row r="793" spans="51:51">
      <c r="AY793" s="647"/>
    </row>
    <row r="794" spans="51:51">
      <c r="AY794" s="647"/>
    </row>
    <row r="795" spans="51:51">
      <c r="AY795" s="647"/>
    </row>
    <row r="796" spans="51:51">
      <c r="AY796" s="647"/>
    </row>
    <row r="797" spans="51:51">
      <c r="AY797" s="647"/>
    </row>
    <row r="798" spans="51:51">
      <c r="AY798" s="647"/>
    </row>
    <row r="799" spans="51:51">
      <c r="AY799" s="647"/>
    </row>
    <row r="800" spans="51:51">
      <c r="AY800" s="647"/>
    </row>
    <row r="801" spans="51:51">
      <c r="AY801" s="647"/>
    </row>
    <row r="802" spans="51:51">
      <c r="AY802" s="647"/>
    </row>
    <row r="803" spans="51:51">
      <c r="AY803" s="647"/>
    </row>
    <row r="804" spans="51:51">
      <c r="AY804" s="647"/>
    </row>
    <row r="805" spans="51:51">
      <c r="AY805" s="647"/>
    </row>
    <row r="806" spans="51:51">
      <c r="AY806" s="647"/>
    </row>
    <row r="807" spans="51:51">
      <c r="AY807" s="647"/>
    </row>
    <row r="808" spans="51:51">
      <c r="AY808" s="647"/>
    </row>
    <row r="809" spans="51:51">
      <c r="AY809" s="647"/>
    </row>
    <row r="810" spans="51:51">
      <c r="AY810" s="647"/>
    </row>
    <row r="811" spans="51:51">
      <c r="AY811" s="647"/>
    </row>
    <row r="812" spans="51:51">
      <c r="AY812" s="647"/>
    </row>
    <row r="813" spans="51:51">
      <c r="AY813" s="647"/>
    </row>
    <row r="814" spans="51:51">
      <c r="AY814" s="647"/>
    </row>
    <row r="815" spans="51:51">
      <c r="AY815" s="647"/>
    </row>
    <row r="816" spans="51:51">
      <c r="AY816" s="647"/>
    </row>
    <row r="817" spans="51:51">
      <c r="AY817" s="647"/>
    </row>
    <row r="818" spans="51:51">
      <c r="AY818" s="647"/>
    </row>
    <row r="819" spans="51:51">
      <c r="AY819" s="647"/>
    </row>
    <row r="820" spans="51:51">
      <c r="AY820" s="647"/>
    </row>
    <row r="821" spans="51:51">
      <c r="AY821" s="647"/>
    </row>
    <row r="822" spans="51:51">
      <c r="AY822" s="647"/>
    </row>
    <row r="823" spans="51:51">
      <c r="AY823" s="647"/>
    </row>
    <row r="824" spans="51:51">
      <c r="AY824" s="647"/>
    </row>
    <row r="825" spans="51:51">
      <c r="AY825" s="647"/>
    </row>
    <row r="826" spans="51:51">
      <c r="AY826" s="647"/>
    </row>
    <row r="827" spans="51:51">
      <c r="AY827" s="647"/>
    </row>
    <row r="828" spans="51:51">
      <c r="AY828" s="647"/>
    </row>
    <row r="829" spans="51:51">
      <c r="AY829" s="647"/>
    </row>
    <row r="830" spans="51:51">
      <c r="AY830" s="647"/>
    </row>
    <row r="831" spans="51:51">
      <c r="AY831" s="647"/>
    </row>
    <row r="832" spans="51:51">
      <c r="AY832" s="647"/>
    </row>
    <row r="833" spans="51:51">
      <c r="AY833" s="647"/>
    </row>
    <row r="834" spans="51:51">
      <c r="AY834" s="647"/>
    </row>
    <row r="835" spans="51:51">
      <c r="AY835" s="647"/>
    </row>
    <row r="836" spans="51:51">
      <c r="AY836" s="647"/>
    </row>
    <row r="837" spans="51:51">
      <c r="AY837" s="647"/>
    </row>
    <row r="838" spans="51:51">
      <c r="AY838" s="647"/>
    </row>
    <row r="839" spans="51:51">
      <c r="AY839" s="647"/>
    </row>
    <row r="840" spans="51:51">
      <c r="AY840" s="647"/>
    </row>
    <row r="841" spans="51:51">
      <c r="AY841" s="647"/>
    </row>
    <row r="842" spans="51:51">
      <c r="AY842" s="647"/>
    </row>
    <row r="843" spans="51:51">
      <c r="AY843" s="647"/>
    </row>
    <row r="844" spans="51:51">
      <c r="AY844" s="647"/>
    </row>
    <row r="845" spans="51:51">
      <c r="AY845" s="647"/>
    </row>
    <row r="846" spans="51:51">
      <c r="AY846" s="647"/>
    </row>
    <row r="847" spans="51:51">
      <c r="AY847" s="647"/>
    </row>
    <row r="848" spans="51:51">
      <c r="AY848" s="647"/>
    </row>
    <row r="849" spans="51:51">
      <c r="AY849" s="647"/>
    </row>
    <row r="850" spans="51:51">
      <c r="AY850" s="647"/>
    </row>
    <row r="851" spans="51:51">
      <c r="AY851" s="647"/>
    </row>
    <row r="852" spans="51:51">
      <c r="AY852" s="647"/>
    </row>
    <row r="853" spans="51:51">
      <c r="AY853" s="647"/>
    </row>
    <row r="854" spans="51:51">
      <c r="AY854" s="647"/>
    </row>
    <row r="855" spans="51:51">
      <c r="AY855" s="647"/>
    </row>
    <row r="856" spans="51:51">
      <c r="AY856" s="647"/>
    </row>
    <row r="857" spans="51:51">
      <c r="AY857" s="647"/>
    </row>
    <row r="858" spans="51:51">
      <c r="AY858" s="647"/>
    </row>
    <row r="859" spans="51:51">
      <c r="AY859" s="647"/>
    </row>
    <row r="860" spans="51:51">
      <c r="AY860" s="647"/>
    </row>
    <row r="861" spans="51:51">
      <c r="AY861" s="647"/>
    </row>
    <row r="862" spans="51:51">
      <c r="AY862" s="647"/>
    </row>
    <row r="863" spans="51:51">
      <c r="AY863" s="647"/>
    </row>
    <row r="864" spans="51:51">
      <c r="AY864" s="647"/>
    </row>
    <row r="865" spans="51:51">
      <c r="AY865" s="647"/>
    </row>
    <row r="866" spans="51:51">
      <c r="AY866" s="647"/>
    </row>
    <row r="867" spans="51:51">
      <c r="AY867" s="647"/>
    </row>
    <row r="868" spans="51:51">
      <c r="AY868" s="647"/>
    </row>
    <row r="869" spans="51:51">
      <c r="AY869" s="647"/>
    </row>
    <row r="870" spans="51:51">
      <c r="AY870" s="647"/>
    </row>
    <row r="871" spans="51:51">
      <c r="AY871" s="647"/>
    </row>
    <row r="872" spans="51:51">
      <c r="AY872" s="647"/>
    </row>
    <row r="873" spans="51:51">
      <c r="AY873" s="647"/>
    </row>
    <row r="874" spans="51:51">
      <c r="AY874" s="647"/>
    </row>
    <row r="875" spans="51:51">
      <c r="AY875" s="647"/>
    </row>
    <row r="876" spans="51:51">
      <c r="AY876" s="647"/>
    </row>
    <row r="877" spans="51:51">
      <c r="AY877" s="647"/>
    </row>
    <row r="878" spans="51:51">
      <c r="AY878" s="647"/>
    </row>
    <row r="879" spans="51:51">
      <c r="AY879" s="647"/>
    </row>
    <row r="880" spans="51:51">
      <c r="AY880" s="647"/>
    </row>
    <row r="881" spans="51:51">
      <c r="AY881" s="647"/>
    </row>
    <row r="882" spans="51:51">
      <c r="AY882" s="647"/>
    </row>
    <row r="883" spans="51:51">
      <c r="AY883" s="647"/>
    </row>
    <row r="884" spans="51:51">
      <c r="AY884" s="647"/>
    </row>
    <row r="885" spans="51:51">
      <c r="AY885" s="647"/>
    </row>
    <row r="886" spans="51:51">
      <c r="AY886" s="647"/>
    </row>
    <row r="887" spans="51:51">
      <c r="AY887" s="647"/>
    </row>
    <row r="888" spans="51:51">
      <c r="AY888" s="647"/>
    </row>
    <row r="889" spans="51:51">
      <c r="AY889" s="647"/>
    </row>
    <row r="890" spans="51:51">
      <c r="AY890" s="647"/>
    </row>
    <row r="891" spans="51:51">
      <c r="AY891" s="647"/>
    </row>
    <row r="892" spans="51:51">
      <c r="AY892" s="647"/>
    </row>
    <row r="893" spans="51:51">
      <c r="AY893" s="647"/>
    </row>
    <row r="894" spans="51:51">
      <c r="AY894" s="647"/>
    </row>
    <row r="895" spans="51:51">
      <c r="AY895" s="647"/>
    </row>
    <row r="896" spans="51:51">
      <c r="AY896" s="647"/>
    </row>
    <row r="897" spans="51:51">
      <c r="AY897" s="647"/>
    </row>
    <row r="898" spans="51:51">
      <c r="AY898" s="647"/>
    </row>
    <row r="899" spans="51:51">
      <c r="AY899" s="647"/>
    </row>
    <row r="900" spans="51:51">
      <c r="AY900" s="647"/>
    </row>
    <row r="901" spans="51:51">
      <c r="AY901" s="647"/>
    </row>
    <row r="902" spans="51:51">
      <c r="AY902" s="647"/>
    </row>
    <row r="903" spans="51:51">
      <c r="AY903" s="647"/>
    </row>
    <row r="904" spans="51:51">
      <c r="AY904" s="647"/>
    </row>
    <row r="905" spans="51:51">
      <c r="AY905" s="647"/>
    </row>
    <row r="906" spans="51:51">
      <c r="AY906" s="647"/>
    </row>
    <row r="907" spans="51:51">
      <c r="AY907" s="647"/>
    </row>
    <row r="908" spans="51:51">
      <c r="AY908" s="647"/>
    </row>
    <row r="909" spans="51:51">
      <c r="AY909" s="647"/>
    </row>
    <row r="910" spans="51:51">
      <c r="AY910" s="647"/>
    </row>
    <row r="911" spans="51:51">
      <c r="AY911" s="647"/>
    </row>
    <row r="912" spans="51:51">
      <c r="AY912" s="647"/>
    </row>
    <row r="913" spans="51:51">
      <c r="AY913" s="647"/>
    </row>
    <row r="914" spans="51:51">
      <c r="AY914" s="647"/>
    </row>
    <row r="915" spans="51:51">
      <c r="AY915" s="647"/>
    </row>
    <row r="916" spans="51:51">
      <c r="AY916" s="647"/>
    </row>
    <row r="917" spans="51:51">
      <c r="AY917" s="647"/>
    </row>
    <row r="918" spans="51:51">
      <c r="AY918" s="647"/>
    </row>
    <row r="919" spans="51:51">
      <c r="AY919" s="647"/>
    </row>
    <row r="920" spans="51:51">
      <c r="AY920" s="647"/>
    </row>
    <row r="921" spans="51:51">
      <c r="AY921" s="647"/>
    </row>
    <row r="922" spans="51:51">
      <c r="AY922" s="647"/>
    </row>
    <row r="923" spans="51:51">
      <c r="AY923" s="647"/>
    </row>
    <row r="924" spans="51:51">
      <c r="AY924" s="647"/>
    </row>
    <row r="925" spans="51:51">
      <c r="AY925" s="647"/>
    </row>
    <row r="926" spans="51:51">
      <c r="AY926" s="647"/>
    </row>
    <row r="927" spans="51:51">
      <c r="AY927" s="647"/>
    </row>
    <row r="928" spans="51:51">
      <c r="AY928" s="647"/>
    </row>
    <row r="929" spans="51:51">
      <c r="AY929" s="647"/>
    </row>
    <row r="930" spans="51:51">
      <c r="AY930" s="647"/>
    </row>
    <row r="931" spans="51:51">
      <c r="AY931" s="647"/>
    </row>
    <row r="932" spans="51:51">
      <c r="AY932" s="647"/>
    </row>
    <row r="933" spans="51:51">
      <c r="AY933" s="647"/>
    </row>
    <row r="934" spans="51:51">
      <c r="AY934" s="647"/>
    </row>
    <row r="935" spans="51:51">
      <c r="AY935" s="647"/>
    </row>
    <row r="936" spans="51:51">
      <c r="AY936" s="647"/>
    </row>
    <row r="937" spans="51:51">
      <c r="AY937" s="647"/>
    </row>
    <row r="938" spans="51:51">
      <c r="AY938" s="647"/>
    </row>
    <row r="939" spans="51:51">
      <c r="AY939" s="647"/>
    </row>
    <row r="940" spans="51:51">
      <c r="AY940" s="647"/>
    </row>
    <row r="941" spans="51:51">
      <c r="AY941" s="647"/>
    </row>
    <row r="942" spans="51:51">
      <c r="AY942" s="647"/>
    </row>
    <row r="943" spans="51:51">
      <c r="AY943" s="647"/>
    </row>
    <row r="944" spans="51:51">
      <c r="AY944" s="647"/>
    </row>
    <row r="945" spans="51:51">
      <c r="AY945" s="647"/>
    </row>
    <row r="946" spans="51:51">
      <c r="AY946" s="647"/>
    </row>
    <row r="947" spans="51:51">
      <c r="AY947" s="647"/>
    </row>
    <row r="948" spans="51:51">
      <c r="AY948" s="647"/>
    </row>
    <row r="949" spans="51:51">
      <c r="AY949" s="647"/>
    </row>
    <row r="950" spans="51:51">
      <c r="AY950" s="647"/>
    </row>
    <row r="951" spans="51:51">
      <c r="AY951" s="647"/>
    </row>
    <row r="952" spans="51:51">
      <c r="AY952" s="647"/>
    </row>
    <row r="953" spans="51:51">
      <c r="AY953" s="647"/>
    </row>
    <row r="954" spans="51:51">
      <c r="AY954" s="647"/>
    </row>
    <row r="955" spans="51:51">
      <c r="AY955" s="647"/>
    </row>
    <row r="956" spans="51:51">
      <c r="AY956" s="647"/>
    </row>
    <row r="957" spans="51:51">
      <c r="AY957" s="647"/>
    </row>
    <row r="958" spans="51:51">
      <c r="AY958" s="647"/>
    </row>
    <row r="959" spans="51:51">
      <c r="AY959" s="647"/>
    </row>
    <row r="960" spans="51:51">
      <c r="AY960" s="647"/>
    </row>
    <row r="961" spans="51:51">
      <c r="AY961" s="647"/>
    </row>
    <row r="962" spans="51:51">
      <c r="AY962" s="647"/>
    </row>
    <row r="963" spans="51:51">
      <c r="AY963" s="647"/>
    </row>
    <row r="964" spans="51:51">
      <c r="AY964" s="647"/>
    </row>
    <row r="965" spans="51:51">
      <c r="AY965" s="647"/>
    </row>
    <row r="966" spans="51:51">
      <c r="AY966" s="647"/>
    </row>
    <row r="967" spans="51:51">
      <c r="AY967" s="647"/>
    </row>
    <row r="968" spans="51:51">
      <c r="AY968" s="647"/>
    </row>
    <row r="969" spans="51:51">
      <c r="AY969" s="647"/>
    </row>
    <row r="970" spans="51:51">
      <c r="AY970" s="647"/>
    </row>
    <row r="971" spans="51:51">
      <c r="AY971" s="647"/>
    </row>
    <row r="972" spans="51:51">
      <c r="AY972" s="647"/>
    </row>
    <row r="973" spans="51:51">
      <c r="AY973" s="647"/>
    </row>
    <row r="974" spans="51:51">
      <c r="AY974" s="647"/>
    </row>
    <row r="975" spans="51:51">
      <c r="AY975" s="647"/>
    </row>
    <row r="976" spans="51:51">
      <c r="AY976" s="647"/>
    </row>
    <row r="977" spans="51:51">
      <c r="AY977" s="647"/>
    </row>
    <row r="978" spans="51:51">
      <c r="AY978" s="647"/>
    </row>
    <row r="979" spans="51:51">
      <c r="AY979" s="647"/>
    </row>
    <row r="980" spans="51:51">
      <c r="AY980" s="647"/>
    </row>
    <row r="981" spans="51:51">
      <c r="AY981" s="647"/>
    </row>
    <row r="982" spans="51:51">
      <c r="AY982" s="647"/>
    </row>
    <row r="983" spans="51:51">
      <c r="AY983" s="647"/>
    </row>
    <row r="984" spans="51:51">
      <c r="AY984" s="647"/>
    </row>
    <row r="985" spans="51:51">
      <c r="AY985" s="647"/>
    </row>
    <row r="986" spans="51:51">
      <c r="AY986" s="647"/>
    </row>
    <row r="987" spans="51:51">
      <c r="AY987" s="647"/>
    </row>
    <row r="988" spans="51:51">
      <c r="AY988" s="647"/>
    </row>
    <row r="989" spans="51:51">
      <c r="AY989" s="647"/>
    </row>
    <row r="990" spans="51:51">
      <c r="AY990" s="647"/>
    </row>
    <row r="991" spans="51:51">
      <c r="AY991" s="647"/>
    </row>
    <row r="992" spans="51:51">
      <c r="AY992" s="647"/>
    </row>
    <row r="993" spans="51:51">
      <c r="AY993" s="647"/>
    </row>
    <row r="994" spans="51:51">
      <c r="AY994" s="647"/>
    </row>
    <row r="995" spans="51:51">
      <c r="AY995" s="647"/>
    </row>
    <row r="996" spans="51:51">
      <c r="AY996" s="647"/>
    </row>
    <row r="997" spans="51:51">
      <c r="AY997" s="647"/>
    </row>
    <row r="998" spans="51:51">
      <c r="AY998" s="647"/>
    </row>
    <row r="999" spans="51:51">
      <c r="AY999" s="647"/>
    </row>
    <row r="1000" spans="51:51">
      <c r="AY1000" s="647"/>
    </row>
    <row r="1001" spans="51:51">
      <c r="AY1001" s="647"/>
    </row>
    <row r="1002" spans="51:51">
      <c r="AY1002" s="647"/>
    </row>
    <row r="1003" spans="51:51">
      <c r="AY1003" s="647"/>
    </row>
    <row r="1004" spans="51:51">
      <c r="AY1004" s="647"/>
    </row>
    <row r="1005" spans="51:51">
      <c r="AY1005" s="647"/>
    </row>
    <row r="1006" spans="51:51">
      <c r="AY1006" s="647"/>
    </row>
    <row r="1007" spans="51:51">
      <c r="AY1007" s="647"/>
    </row>
    <row r="1008" spans="51:51">
      <c r="AY1008" s="647"/>
    </row>
    <row r="1009" spans="51:51">
      <c r="AY1009" s="647"/>
    </row>
    <row r="1010" spans="51:51">
      <c r="AY1010" s="647"/>
    </row>
    <row r="1011" spans="51:51">
      <c r="AY1011" s="647"/>
    </row>
    <row r="1012" spans="51:51">
      <c r="AY1012" s="647"/>
    </row>
    <row r="1013" spans="51:51">
      <c r="AY1013" s="647"/>
    </row>
    <row r="1014" spans="51:51">
      <c r="AY1014" s="647"/>
    </row>
    <row r="1015" spans="51:51">
      <c r="AY1015" s="647"/>
    </row>
    <row r="1016" spans="51:51">
      <c r="AY1016" s="647"/>
    </row>
    <row r="1017" spans="51:51">
      <c r="AY1017" s="647"/>
    </row>
    <row r="1018" spans="51:51">
      <c r="AY1018" s="647"/>
    </row>
    <row r="1019" spans="51:51">
      <c r="AY1019" s="647"/>
    </row>
    <row r="1020" spans="51:51">
      <c r="AY1020" s="647"/>
    </row>
    <row r="1021" spans="51:51">
      <c r="AY1021" s="647"/>
    </row>
    <row r="1022" spans="51:51">
      <c r="AY1022" s="647"/>
    </row>
    <row r="1023" spans="51:51">
      <c r="AY1023" s="647"/>
    </row>
    <row r="1024" spans="51:51">
      <c r="AY1024" s="647"/>
    </row>
    <row r="1025" spans="51:51">
      <c r="AY1025" s="647"/>
    </row>
    <row r="1026" spans="51:51">
      <c r="AY1026" s="647"/>
    </row>
    <row r="1027" spans="51:51">
      <c r="AY1027" s="647"/>
    </row>
    <row r="1028" spans="51:51">
      <c r="AY1028" s="647"/>
    </row>
    <row r="1029" spans="51:51">
      <c r="AY1029" s="647"/>
    </row>
    <row r="1030" spans="51:51">
      <c r="AY1030" s="647"/>
    </row>
    <row r="1031" spans="51:51">
      <c r="AY1031" s="647"/>
    </row>
    <row r="1032" spans="51:51">
      <c r="AY1032" s="647"/>
    </row>
    <row r="1033" spans="51:51">
      <c r="AY1033" s="647"/>
    </row>
    <row r="1034" spans="51:51">
      <c r="AY1034" s="647"/>
    </row>
    <row r="1035" spans="51:51">
      <c r="AY1035" s="647"/>
    </row>
    <row r="1036" spans="51:51">
      <c r="AY1036" s="647"/>
    </row>
    <row r="1037" spans="51:51">
      <c r="AY1037" s="647"/>
    </row>
    <row r="1038" spans="51:51">
      <c r="AY1038" s="647"/>
    </row>
    <row r="1039" spans="51:51">
      <c r="AY1039" s="647"/>
    </row>
    <row r="1040" spans="51:51">
      <c r="AY1040" s="647"/>
    </row>
    <row r="1041" spans="51:51">
      <c r="AY1041" s="647"/>
    </row>
    <row r="1042" spans="51:51">
      <c r="AY1042" s="647"/>
    </row>
    <row r="1043" spans="51:51">
      <c r="AY1043" s="647"/>
    </row>
    <row r="1044" spans="51:51">
      <c r="AY1044" s="647"/>
    </row>
    <row r="1045" spans="51:51">
      <c r="AY1045" s="647"/>
    </row>
    <row r="1046" spans="51:51">
      <c r="AY1046" s="647"/>
    </row>
    <row r="1047" spans="51:51">
      <c r="AY1047" s="647"/>
    </row>
    <row r="1048" spans="51:51">
      <c r="AY1048" s="647"/>
    </row>
    <row r="1049" spans="51:51">
      <c r="AY1049" s="647"/>
    </row>
    <row r="1050" spans="51:51">
      <c r="AY1050" s="647"/>
    </row>
    <row r="1051" spans="51:51">
      <c r="AY1051" s="647"/>
    </row>
    <row r="1052" spans="51:51">
      <c r="AY1052" s="647"/>
    </row>
    <row r="1053" spans="51:51">
      <c r="AY1053" s="647"/>
    </row>
    <row r="1054" spans="51:51">
      <c r="AY1054" s="647"/>
    </row>
    <row r="1055" spans="51:51">
      <c r="AY1055" s="647"/>
    </row>
    <row r="1056" spans="51:51">
      <c r="AY1056" s="647"/>
    </row>
    <row r="1057" spans="51:51">
      <c r="AY1057" s="647"/>
    </row>
    <row r="1058" spans="51:51">
      <c r="AY1058" s="647"/>
    </row>
    <row r="1059" spans="51:51">
      <c r="AY1059" s="647"/>
    </row>
    <row r="1060" spans="51:51">
      <c r="AY1060" s="647"/>
    </row>
    <row r="1061" spans="51:51">
      <c r="AY1061" s="647"/>
    </row>
    <row r="1062" spans="51:51">
      <c r="AY1062" s="647"/>
    </row>
    <row r="1063" spans="51:51">
      <c r="AY1063" s="647"/>
    </row>
    <row r="1064" spans="51:51">
      <c r="AY1064" s="647"/>
    </row>
    <row r="1065" spans="51:51">
      <c r="AY1065" s="647"/>
    </row>
    <row r="1066" spans="51:51">
      <c r="AY1066" s="647"/>
    </row>
    <row r="1067" spans="51:51">
      <c r="AY1067" s="647"/>
    </row>
    <row r="1068" spans="51:51">
      <c r="AY1068" s="647"/>
    </row>
    <row r="1069" spans="51:51">
      <c r="AY1069" s="647"/>
    </row>
    <row r="1070" spans="51:51">
      <c r="AY1070" s="647"/>
    </row>
    <row r="1071" spans="51:51">
      <c r="AY1071" s="647"/>
    </row>
    <row r="1072" spans="51:51">
      <c r="AY1072" s="647"/>
    </row>
    <row r="1073" spans="51:51">
      <c r="AY1073" s="647"/>
    </row>
    <row r="1074" spans="51:51">
      <c r="AY1074" s="647"/>
    </row>
    <row r="1075" spans="51:51">
      <c r="AY1075" s="647"/>
    </row>
    <row r="1076" spans="51:51">
      <c r="AY1076" s="647"/>
    </row>
    <row r="1077" spans="51:51">
      <c r="AY1077" s="647"/>
    </row>
    <row r="1078" spans="51:51">
      <c r="AY1078" s="647"/>
    </row>
    <row r="1079" spans="51:51">
      <c r="AY1079" s="647"/>
    </row>
    <row r="1080" spans="51:51">
      <c r="AY1080" s="647"/>
    </row>
    <row r="1081" spans="51:51">
      <c r="AY1081" s="647"/>
    </row>
    <row r="1082" spans="51:51">
      <c r="AY1082" s="647"/>
    </row>
    <row r="1083" spans="51:51">
      <c r="AY1083" s="647"/>
    </row>
    <row r="1084" spans="51:51">
      <c r="AY1084" s="647"/>
    </row>
    <row r="1085" spans="51:51">
      <c r="AY1085" s="647"/>
    </row>
    <row r="1086" spans="51:51">
      <c r="AY1086" s="647"/>
    </row>
    <row r="1087" spans="51:51">
      <c r="AY1087" s="647"/>
    </row>
    <row r="1088" spans="51:51">
      <c r="AY1088" s="647"/>
    </row>
    <row r="1089" spans="51:51">
      <c r="AY1089" s="647"/>
    </row>
    <row r="1090" spans="51:51">
      <c r="AY1090" s="647"/>
    </row>
    <row r="1091" spans="51:51">
      <c r="AY1091" s="647"/>
    </row>
    <row r="1092" spans="51:51">
      <c r="AY1092" s="647"/>
    </row>
    <row r="1093" spans="51:51">
      <c r="AY1093" s="647"/>
    </row>
    <row r="1094" spans="51:51">
      <c r="AY1094" s="647"/>
    </row>
    <row r="1095" spans="51:51">
      <c r="AY1095" s="647"/>
    </row>
    <row r="1096" spans="51:51">
      <c r="AY1096" s="647"/>
    </row>
    <row r="1097" spans="51:51">
      <c r="AY1097" s="647"/>
    </row>
    <row r="1098" spans="51:51">
      <c r="AY1098" s="647"/>
    </row>
    <row r="1099" spans="51:51">
      <c r="AY1099" s="647"/>
    </row>
    <row r="1100" spans="51:51">
      <c r="AY1100" s="647"/>
    </row>
    <row r="1101" spans="51:51">
      <c r="AY1101" s="647"/>
    </row>
    <row r="1102" spans="51:51">
      <c r="AY1102" s="647"/>
    </row>
    <row r="1103" spans="51:51">
      <c r="AY1103" s="647"/>
    </row>
    <row r="1104" spans="51:51">
      <c r="AY1104" s="647"/>
    </row>
    <row r="1105" spans="51:51">
      <c r="AY1105" s="647"/>
    </row>
    <row r="1106" spans="51:51">
      <c r="AY1106" s="647"/>
    </row>
    <row r="1107" spans="51:51">
      <c r="AY1107" s="647"/>
    </row>
    <row r="1108" spans="51:51">
      <c r="AY1108" s="647"/>
    </row>
    <row r="1109" spans="51:51">
      <c r="AY1109" s="647"/>
    </row>
    <row r="1110" spans="51:51">
      <c r="AY1110" s="647"/>
    </row>
    <row r="1111" spans="51:51">
      <c r="AY1111" s="647"/>
    </row>
    <row r="1112" spans="51:51">
      <c r="AY1112" s="647"/>
    </row>
    <row r="1113" spans="51:51">
      <c r="AY1113" s="647"/>
    </row>
    <row r="1114" spans="51:51">
      <c r="AY1114" s="647"/>
    </row>
    <row r="1115" spans="51:51">
      <c r="AY1115" s="647"/>
    </row>
    <row r="1116" spans="51:51">
      <c r="AY1116" s="647"/>
    </row>
    <row r="1117" spans="51:51">
      <c r="AY1117" s="647"/>
    </row>
    <row r="1118" spans="51:51">
      <c r="AY1118" s="647"/>
    </row>
    <row r="1119" spans="51:51">
      <c r="AY1119" s="647"/>
    </row>
    <row r="1120" spans="51:51">
      <c r="AY1120" s="647"/>
    </row>
    <row r="1121" spans="51:51">
      <c r="AY1121" s="647"/>
    </row>
    <row r="1122" spans="51:51">
      <c r="AY1122" s="647"/>
    </row>
    <row r="1123" spans="51:51">
      <c r="AY1123" s="647"/>
    </row>
    <row r="1124" spans="51:51">
      <c r="AY1124" s="647"/>
    </row>
    <row r="1125" spans="51:51">
      <c r="AY1125" s="647"/>
    </row>
    <row r="1126" spans="51:51">
      <c r="AY1126" s="647"/>
    </row>
    <row r="1127" spans="51:51">
      <c r="AY1127" s="647"/>
    </row>
    <row r="1128" spans="51:51">
      <c r="AY1128" s="647"/>
    </row>
    <row r="1129" spans="51:51">
      <c r="AY1129" s="647"/>
    </row>
    <row r="1130" spans="51:51">
      <c r="AY1130" s="647"/>
    </row>
    <row r="1131" spans="51:51">
      <c r="AY1131" s="647"/>
    </row>
    <row r="1132" spans="51:51">
      <c r="AY1132" s="647"/>
    </row>
    <row r="1133" spans="51:51">
      <c r="AY1133" s="647"/>
    </row>
    <row r="1134" spans="51:51">
      <c r="AY1134" s="647"/>
    </row>
    <row r="1135" spans="51:51">
      <c r="AY1135" s="647"/>
    </row>
    <row r="1136" spans="51:51">
      <c r="AY1136" s="647"/>
    </row>
    <row r="1137" spans="51:51">
      <c r="AY1137" s="647"/>
    </row>
    <row r="1138" spans="51:51">
      <c r="AY1138" s="647"/>
    </row>
    <row r="1139" spans="51:51">
      <c r="AY1139" s="647"/>
    </row>
    <row r="1140" spans="51:51">
      <c r="AY1140" s="647"/>
    </row>
    <row r="1141" spans="51:51">
      <c r="AY1141" s="647"/>
    </row>
    <row r="1142" spans="51:51">
      <c r="AY1142" s="647"/>
    </row>
    <row r="1143" spans="51:51">
      <c r="AY1143" s="647"/>
    </row>
    <row r="1144" spans="51:51">
      <c r="AY1144" s="647"/>
    </row>
    <row r="1145" spans="51:51">
      <c r="AY1145" s="647"/>
    </row>
    <row r="1146" spans="51:51">
      <c r="AY1146" s="647"/>
    </row>
    <row r="1147" spans="51:51">
      <c r="AY1147" s="647"/>
    </row>
    <row r="1148" spans="51:51">
      <c r="AY1148" s="647"/>
    </row>
    <row r="1149" spans="51:51">
      <c r="AY1149" s="647"/>
    </row>
    <row r="1150" spans="51:51">
      <c r="AY1150" s="647"/>
    </row>
    <row r="1151" spans="51:51">
      <c r="AY1151" s="647"/>
    </row>
    <row r="1152" spans="51:51">
      <c r="AY1152" s="647"/>
    </row>
    <row r="1153" spans="51:51">
      <c r="AY1153" s="647"/>
    </row>
    <row r="1154" spans="51:51">
      <c r="AY1154" s="647"/>
    </row>
    <row r="1155" spans="51:51">
      <c r="AY1155" s="647"/>
    </row>
    <row r="1156" spans="51:51">
      <c r="AY1156" s="647"/>
    </row>
    <row r="1157" spans="51:51">
      <c r="AY1157" s="647"/>
    </row>
    <row r="1158" spans="51:51">
      <c r="AY1158" s="647"/>
    </row>
    <row r="1159" spans="51:51">
      <c r="AY1159" s="647"/>
    </row>
    <row r="1160" spans="51:51">
      <c r="AY1160" s="647"/>
    </row>
    <row r="1161" spans="51:51">
      <c r="AY1161" s="647"/>
    </row>
    <row r="1162" spans="51:51">
      <c r="AY1162" s="647"/>
    </row>
    <row r="1163" spans="51:51">
      <c r="AY1163" s="647"/>
    </row>
    <row r="1164" spans="51:51">
      <c r="AY1164" s="647"/>
    </row>
    <row r="1165" spans="51:51">
      <c r="AY1165" s="647"/>
    </row>
    <row r="1166" spans="51:51">
      <c r="AY1166" s="647"/>
    </row>
    <row r="1167" spans="51:51">
      <c r="AY1167" s="647"/>
    </row>
    <row r="1168" spans="51:51">
      <c r="AY1168" s="647"/>
    </row>
    <row r="1169" spans="51:51">
      <c r="AY1169" s="647"/>
    </row>
    <row r="1170" spans="51:51">
      <c r="AY1170" s="647"/>
    </row>
    <row r="1171" spans="51:51">
      <c r="AY1171" s="647"/>
    </row>
    <row r="1172" spans="51:51">
      <c r="AY1172" s="647"/>
    </row>
    <row r="1173" spans="51:51">
      <c r="AY1173" s="647"/>
    </row>
    <row r="1174" spans="51:51">
      <c r="AY1174" s="647"/>
    </row>
    <row r="1175" spans="51:51">
      <c r="AY1175" s="647"/>
    </row>
    <row r="1176" spans="51:51">
      <c r="AY1176" s="647"/>
    </row>
    <row r="1177" spans="51:51">
      <c r="AY1177" s="647"/>
    </row>
    <row r="1178" spans="51:51">
      <c r="AY1178" s="647"/>
    </row>
    <row r="1179" spans="51:51">
      <c r="AY1179" s="647"/>
    </row>
    <row r="1180" spans="51:51">
      <c r="AY1180" s="647"/>
    </row>
    <row r="1181" spans="51:51">
      <c r="AY1181" s="647"/>
    </row>
    <row r="1182" spans="51:51">
      <c r="AY1182" s="647"/>
    </row>
    <row r="1183" spans="51:51">
      <c r="AY1183" s="647"/>
    </row>
    <row r="1184" spans="51:51">
      <c r="AY1184" s="647"/>
    </row>
    <row r="1185" spans="51:51">
      <c r="AY1185" s="647"/>
    </row>
    <row r="1186" spans="51:51">
      <c r="AY1186" s="647"/>
    </row>
    <row r="1187" spans="51:51">
      <c r="AY1187" s="647"/>
    </row>
    <row r="1188" spans="51:51">
      <c r="AY1188" s="647"/>
    </row>
    <row r="1189" spans="51:51">
      <c r="AY1189" s="647"/>
    </row>
    <row r="1190" spans="51:51">
      <c r="AY1190" s="647"/>
    </row>
    <row r="1191" spans="51:51">
      <c r="AY1191" s="647"/>
    </row>
    <row r="1192" spans="51:51">
      <c r="AY1192" s="647"/>
    </row>
    <row r="1193" spans="51:51">
      <c r="AY1193" s="647"/>
    </row>
    <row r="1194" spans="51:51">
      <c r="AY1194" s="647"/>
    </row>
    <row r="1195" spans="51:51">
      <c r="AY1195" s="647"/>
    </row>
    <row r="1196" spans="51:51">
      <c r="AY1196" s="647"/>
    </row>
    <row r="1197" spans="51:51">
      <c r="AY1197" s="647"/>
    </row>
    <row r="1198" spans="51:51">
      <c r="AY1198" s="647"/>
    </row>
    <row r="1199" spans="51:51">
      <c r="AY1199" s="647"/>
    </row>
    <row r="1200" spans="51:51">
      <c r="AY1200" s="647"/>
    </row>
    <row r="1201" spans="51:51">
      <c r="AY1201" s="647"/>
    </row>
    <row r="1202" spans="51:51">
      <c r="AY1202" s="647"/>
    </row>
    <row r="1203" spans="51:51">
      <c r="AY1203" s="647"/>
    </row>
    <row r="1204" spans="51:51">
      <c r="AY1204" s="647"/>
    </row>
    <row r="1205" spans="51:51">
      <c r="AY1205" s="647"/>
    </row>
    <row r="1206" spans="51:51">
      <c r="AY1206" s="647"/>
    </row>
    <row r="1207" spans="51:51">
      <c r="AY1207" s="647"/>
    </row>
    <row r="1208" spans="51:51">
      <c r="AY1208" s="647"/>
    </row>
    <row r="1209" spans="51:51">
      <c r="AY1209" s="647"/>
    </row>
    <row r="1210" spans="51:51">
      <c r="AY1210" s="647"/>
    </row>
    <row r="1211" spans="51:51">
      <c r="AY1211" s="647"/>
    </row>
    <row r="1212" spans="51:51">
      <c r="AY1212" s="647"/>
    </row>
    <row r="1213" spans="51:51">
      <c r="AY1213" s="647"/>
    </row>
    <row r="1214" spans="51:51">
      <c r="AY1214" s="647"/>
    </row>
    <row r="1215" spans="51:51">
      <c r="AY1215" s="647"/>
    </row>
    <row r="1216" spans="51:51">
      <c r="AY1216" s="647"/>
    </row>
    <row r="1217" spans="51:51">
      <c r="AY1217" s="647"/>
    </row>
    <row r="1218" spans="51:51">
      <c r="AY1218" s="647"/>
    </row>
    <row r="1219" spans="51:51">
      <c r="AY1219" s="647"/>
    </row>
    <row r="1220" spans="51:51">
      <c r="AY1220" s="647"/>
    </row>
    <row r="1221" spans="51:51">
      <c r="AY1221" s="647"/>
    </row>
    <row r="1222" spans="51:51">
      <c r="AY1222" s="647"/>
    </row>
    <row r="1223" spans="51:51">
      <c r="AY1223" s="647"/>
    </row>
    <row r="1224" spans="51:51">
      <c r="AY1224" s="647"/>
    </row>
    <row r="1225" spans="51:51">
      <c r="AY1225" s="647"/>
    </row>
    <row r="1226" spans="51:51">
      <c r="AY1226" s="647"/>
    </row>
    <row r="1227" spans="51:51">
      <c r="AY1227" s="647"/>
    </row>
    <row r="1228" spans="51:51">
      <c r="AY1228" s="647"/>
    </row>
    <row r="1229" spans="51:51">
      <c r="AY1229" s="647"/>
    </row>
    <row r="1230" spans="51:51">
      <c r="AY1230" s="647"/>
    </row>
    <row r="1231" spans="51:51">
      <c r="AY1231" s="647"/>
    </row>
    <row r="1232" spans="51:51">
      <c r="AY1232" s="647"/>
    </row>
    <row r="1233" spans="51:51">
      <c r="AY1233" s="647"/>
    </row>
    <row r="1234" spans="51:51">
      <c r="AY1234" s="647"/>
    </row>
    <row r="1235" spans="51:51">
      <c r="AY1235" s="647"/>
    </row>
    <row r="1236" spans="51:51">
      <c r="AY1236" s="647"/>
    </row>
    <row r="1237" spans="51:51">
      <c r="AY1237" s="647"/>
    </row>
    <row r="1238" spans="51:51">
      <c r="AY1238" s="647"/>
    </row>
    <row r="1239" spans="51:51">
      <c r="AY1239" s="647"/>
    </row>
    <row r="1240" spans="51:51">
      <c r="AY1240" s="647"/>
    </row>
    <row r="1241" spans="51:51">
      <c r="AY1241" s="647"/>
    </row>
    <row r="1242" spans="51:51">
      <c r="AY1242" s="647"/>
    </row>
    <row r="1243" spans="51:51">
      <c r="AY1243" s="647"/>
    </row>
    <row r="1244" spans="51:51">
      <c r="AY1244" s="647"/>
    </row>
    <row r="1245" spans="51:51">
      <c r="AY1245" s="647"/>
    </row>
    <row r="1246" spans="51:51">
      <c r="AY1246" s="647"/>
    </row>
    <row r="1247" spans="51:51">
      <c r="AY1247" s="647"/>
    </row>
    <row r="1248" spans="51:51">
      <c r="AY1248" s="647"/>
    </row>
    <row r="1249" spans="51:51">
      <c r="AY1249" s="647"/>
    </row>
    <row r="1250" spans="51:51">
      <c r="AY1250" s="647"/>
    </row>
    <row r="1251" spans="51:51">
      <c r="AY1251" s="647"/>
    </row>
    <row r="1252" spans="51:51">
      <c r="AY1252" s="647"/>
    </row>
    <row r="1253" spans="51:51">
      <c r="AY1253" s="647"/>
    </row>
    <row r="1254" spans="51:51">
      <c r="AY1254" s="647"/>
    </row>
    <row r="1255" spans="51:51">
      <c r="AY1255" s="647"/>
    </row>
    <row r="1256" spans="51:51">
      <c r="AY1256" s="647"/>
    </row>
    <row r="1257" spans="51:51">
      <c r="AY1257" s="647"/>
    </row>
    <row r="1258" spans="51:51">
      <c r="AY1258" s="647"/>
    </row>
    <row r="1259" spans="51:51">
      <c r="AY1259" s="647"/>
    </row>
    <row r="1260" spans="51:51">
      <c r="AY1260" s="647"/>
    </row>
    <row r="1261" spans="51:51">
      <c r="AY1261" s="647"/>
    </row>
    <row r="1262" spans="51:51">
      <c r="AY1262" s="647"/>
    </row>
    <row r="1263" spans="51:51">
      <c r="AY1263" s="647"/>
    </row>
    <row r="1264" spans="51:51">
      <c r="AY1264" s="647"/>
    </row>
    <row r="1265" spans="51:51">
      <c r="AY1265" s="647"/>
    </row>
    <row r="1266" spans="51:51">
      <c r="AY1266" s="647"/>
    </row>
    <row r="1267" spans="51:51">
      <c r="AY1267" s="647"/>
    </row>
    <row r="1268" spans="51:51">
      <c r="AY1268" s="647"/>
    </row>
    <row r="1269" spans="51:51">
      <c r="AY1269" s="647"/>
    </row>
    <row r="1270" spans="51:51">
      <c r="AY1270" s="647"/>
    </row>
    <row r="1271" spans="51:51">
      <c r="AY1271" s="647"/>
    </row>
    <row r="1272" spans="51:51">
      <c r="AY1272" s="647"/>
    </row>
    <row r="1273" spans="51:51">
      <c r="AY1273" s="647"/>
    </row>
    <row r="1274" spans="51:51">
      <c r="AY1274" s="647"/>
    </row>
    <row r="1275" spans="51:51">
      <c r="AY1275" s="647"/>
    </row>
    <row r="1276" spans="51:51">
      <c r="AY1276" s="647"/>
    </row>
    <row r="1277" spans="51:51">
      <c r="AY1277" s="647"/>
    </row>
    <row r="1278" spans="51:51">
      <c r="AY1278" s="647"/>
    </row>
    <row r="1279" spans="51:51">
      <c r="AY1279" s="647"/>
    </row>
    <row r="1280" spans="51:51">
      <c r="AY1280" s="647"/>
    </row>
    <row r="1281" spans="51:51">
      <c r="AY1281" s="647"/>
    </row>
    <row r="1282" spans="51:51">
      <c r="AY1282" s="647"/>
    </row>
    <row r="1283" spans="51:51">
      <c r="AY1283" s="647"/>
    </row>
    <row r="1284" spans="51:51">
      <c r="AY1284" s="647"/>
    </row>
    <row r="1285" spans="51:51">
      <c r="AY1285" s="647"/>
    </row>
    <row r="1286" spans="51:51">
      <c r="AY1286" s="647"/>
    </row>
    <row r="1287" spans="51:51">
      <c r="AY1287" s="647"/>
    </row>
    <row r="1288" spans="51:51">
      <c r="AY1288" s="647"/>
    </row>
    <row r="1289" spans="51:51">
      <c r="AY1289" s="647"/>
    </row>
    <row r="1290" spans="51:51">
      <c r="AY1290" s="647"/>
    </row>
    <row r="1291" spans="51:51">
      <c r="AY1291" s="647"/>
    </row>
    <row r="1292" spans="51:51">
      <c r="AY1292" s="647"/>
    </row>
    <row r="1293" spans="51:51">
      <c r="AY1293" s="647"/>
    </row>
    <row r="1294" spans="51:51">
      <c r="AY1294" s="647"/>
    </row>
    <row r="1295" spans="51:51">
      <c r="AY1295" s="647"/>
    </row>
    <row r="1296" spans="51:51">
      <c r="AY1296" s="647"/>
    </row>
    <row r="1297" spans="51:51">
      <c r="AY1297" s="647"/>
    </row>
    <row r="1298" spans="51:51">
      <c r="AY1298" s="647"/>
    </row>
    <row r="1299" spans="51:51">
      <c r="AY1299" s="647"/>
    </row>
    <row r="1300" spans="51:51">
      <c r="AY1300" s="647"/>
    </row>
    <row r="1301" spans="51:51">
      <c r="AY1301" s="647"/>
    </row>
    <row r="1302" spans="51:51">
      <c r="AY1302" s="647"/>
    </row>
    <row r="1303" spans="51:51">
      <c r="AY1303" s="647"/>
    </row>
    <row r="1304" spans="51:51">
      <c r="AY1304" s="647"/>
    </row>
    <row r="1305" spans="51:51">
      <c r="AY1305" s="647"/>
    </row>
    <row r="1306" spans="51:51">
      <c r="AY1306" s="647"/>
    </row>
    <row r="1307" spans="51:51">
      <c r="AY1307" s="647"/>
    </row>
    <row r="1308" spans="51:51">
      <c r="AY1308" s="647"/>
    </row>
    <row r="1309" spans="51:51">
      <c r="AY1309" s="647"/>
    </row>
    <row r="1310" spans="51:51">
      <c r="AY1310" s="647"/>
    </row>
    <row r="1311" spans="51:51">
      <c r="AY1311" s="647"/>
    </row>
    <row r="1312" spans="51:51">
      <c r="AY1312" s="647"/>
    </row>
    <row r="1313" spans="51:51">
      <c r="AY1313" s="647"/>
    </row>
    <row r="1314" spans="51:51">
      <c r="AY1314" s="647"/>
    </row>
    <row r="1315" spans="51:51">
      <c r="AY1315" s="647"/>
    </row>
    <row r="1316" spans="51:51">
      <c r="AY1316" s="647"/>
    </row>
    <row r="1317" spans="51:51">
      <c r="AY1317" s="647"/>
    </row>
    <row r="1318" spans="51:51">
      <c r="AY1318" s="647"/>
    </row>
    <row r="1319" spans="51:51">
      <c r="AY1319" s="647"/>
    </row>
    <row r="1320" spans="51:51">
      <c r="AY1320" s="647"/>
    </row>
    <row r="1321" spans="51:51">
      <c r="AY1321" s="647"/>
    </row>
    <row r="1322" spans="51:51">
      <c r="AY1322" s="647"/>
    </row>
    <row r="1323" spans="51:51">
      <c r="AY1323" s="647"/>
    </row>
    <row r="1324" spans="51:51">
      <c r="AY1324" s="647"/>
    </row>
    <row r="1325" spans="51:51">
      <c r="AY1325" s="647"/>
    </row>
    <row r="1326" spans="51:51">
      <c r="AY1326" s="647"/>
    </row>
    <row r="1327" spans="51:51">
      <c r="AY1327" s="647"/>
    </row>
    <row r="1328" spans="51:51">
      <c r="AY1328" s="647"/>
    </row>
    <row r="1329" spans="51:51">
      <c r="AY1329" s="647"/>
    </row>
    <row r="1330" spans="51:51">
      <c r="AY1330" s="647"/>
    </row>
    <row r="1331" spans="51:51">
      <c r="AY1331" s="647"/>
    </row>
    <row r="1332" spans="51:51">
      <c r="AY1332" s="647"/>
    </row>
    <row r="1333" spans="51:51">
      <c r="AY1333" s="647"/>
    </row>
    <row r="1334" spans="51:51">
      <c r="AY1334" s="647"/>
    </row>
    <row r="1335" spans="51:51">
      <c r="AY1335" s="647"/>
    </row>
    <row r="1336" spans="51:51">
      <c r="AY1336" s="647"/>
    </row>
    <row r="1337" spans="51:51">
      <c r="AY1337" s="647"/>
    </row>
    <row r="1338" spans="51:51">
      <c r="AY1338" s="647"/>
    </row>
    <row r="1339" spans="51:51">
      <c r="AY1339" s="647"/>
    </row>
    <row r="1340" spans="51:51">
      <c r="AY1340" s="647"/>
    </row>
    <row r="1341" spans="51:51">
      <c r="AY1341" s="647"/>
    </row>
    <row r="1342" spans="51:51">
      <c r="AY1342" s="647"/>
    </row>
    <row r="1343" spans="51:51">
      <c r="AY1343" s="647"/>
    </row>
    <row r="1344" spans="51:51">
      <c r="AY1344" s="647"/>
    </row>
    <row r="1345" spans="51:51">
      <c r="AY1345" s="647"/>
    </row>
    <row r="1346" spans="51:51">
      <c r="AY1346" s="647"/>
    </row>
    <row r="1347" spans="51:51">
      <c r="AY1347" s="647"/>
    </row>
    <row r="1348" spans="51:51">
      <c r="AY1348" s="647"/>
    </row>
    <row r="1349" spans="51:51">
      <c r="AY1349" s="647"/>
    </row>
    <row r="1350" spans="51:51">
      <c r="AY1350" s="647"/>
    </row>
    <row r="1351" spans="51:51">
      <c r="AY1351" s="647"/>
    </row>
    <row r="1352" spans="51:51">
      <c r="AY1352" s="647"/>
    </row>
    <row r="1353" spans="51:51">
      <c r="AY1353" s="647"/>
    </row>
    <row r="1354" spans="51:51">
      <c r="AY1354" s="647"/>
    </row>
    <row r="1355" spans="51:51">
      <c r="AY1355" s="647"/>
    </row>
    <row r="1356" spans="51:51">
      <c r="AY1356" s="647"/>
    </row>
    <row r="1357" spans="51:51">
      <c r="AY1357" s="647"/>
    </row>
    <row r="1358" spans="51:51">
      <c r="AY1358" s="647"/>
    </row>
    <row r="1359" spans="51:51">
      <c r="AY1359" s="647"/>
    </row>
    <row r="1360" spans="51:51">
      <c r="AY1360" s="647"/>
    </row>
    <row r="1361" spans="51:51">
      <c r="AY1361" s="647"/>
    </row>
    <row r="1362" spans="51:51">
      <c r="AY1362" s="647"/>
    </row>
    <row r="1363" spans="51:51">
      <c r="AY1363" s="647"/>
    </row>
    <row r="1364" spans="51:51">
      <c r="AY1364" s="647"/>
    </row>
    <row r="1365" spans="51:51">
      <c r="AY1365" s="647"/>
    </row>
    <row r="1366" spans="51:51">
      <c r="AY1366" s="647"/>
    </row>
    <row r="1367" spans="51:51">
      <c r="AY1367" s="647"/>
    </row>
    <row r="1368" spans="51:51">
      <c r="AY1368" s="647"/>
    </row>
    <row r="1369" spans="51:51">
      <c r="AY1369" s="647"/>
    </row>
    <row r="1370" spans="51:51">
      <c r="AY1370" s="647"/>
    </row>
    <row r="1371" spans="51:51">
      <c r="AY1371" s="647"/>
    </row>
    <row r="1372" spans="51:51">
      <c r="AY1372" s="647"/>
    </row>
    <row r="1373" spans="51:51">
      <c r="AY1373" s="647"/>
    </row>
    <row r="1374" spans="51:51">
      <c r="AY1374" s="647"/>
    </row>
    <row r="1375" spans="51:51">
      <c r="AY1375" s="647"/>
    </row>
    <row r="1376" spans="51:51">
      <c r="AY1376" s="647"/>
    </row>
    <row r="1377" spans="51:51">
      <c r="AY1377" s="647"/>
    </row>
    <row r="1378" spans="51:51">
      <c r="AY1378" s="647"/>
    </row>
    <row r="1379" spans="51:51">
      <c r="AY1379" s="647"/>
    </row>
    <row r="1380" spans="51:51">
      <c r="AY1380" s="647"/>
    </row>
    <row r="1381" spans="51:51">
      <c r="AY1381" s="647"/>
    </row>
    <row r="1382" spans="51:51">
      <c r="AY1382" s="647"/>
    </row>
    <row r="1383" spans="51:51">
      <c r="AY1383" s="647"/>
    </row>
    <row r="1384" spans="51:51">
      <c r="AY1384" s="647"/>
    </row>
    <row r="1385" spans="51:51">
      <c r="AY1385" s="647"/>
    </row>
    <row r="1386" spans="51:51">
      <c r="AY1386" s="647"/>
    </row>
    <row r="1387" spans="51:51">
      <c r="AY1387" s="647"/>
    </row>
    <row r="1388" spans="51:51">
      <c r="AY1388" s="647"/>
    </row>
    <row r="1389" spans="51:51">
      <c r="AY1389" s="647"/>
    </row>
    <row r="1390" spans="51:51">
      <c r="AY1390" s="647"/>
    </row>
    <row r="1391" spans="51:51">
      <c r="AY1391" s="647"/>
    </row>
    <row r="1392" spans="51:51">
      <c r="AY1392" s="647"/>
    </row>
    <row r="1393" spans="51:51">
      <c r="AY1393" s="647"/>
    </row>
    <row r="1394" spans="51:51">
      <c r="AY1394" s="647"/>
    </row>
    <row r="1395" spans="51:51">
      <c r="AY1395" s="647"/>
    </row>
    <row r="1396" spans="51:51">
      <c r="AY1396" s="647"/>
    </row>
    <row r="1397" spans="51:51">
      <c r="AY1397" s="647"/>
    </row>
    <row r="1398" spans="51:51">
      <c r="AY1398" s="647"/>
    </row>
    <row r="1399" spans="51:51">
      <c r="AY1399" s="647"/>
    </row>
    <row r="1400" spans="51:51">
      <c r="AY1400" s="647"/>
    </row>
    <row r="1401" spans="51:51">
      <c r="AY1401" s="647"/>
    </row>
    <row r="1402" spans="51:51">
      <c r="AY1402" s="647"/>
    </row>
    <row r="1403" spans="51:51">
      <c r="AY1403" s="647"/>
    </row>
    <row r="1404" spans="51:51">
      <c r="AY1404" s="647"/>
    </row>
    <row r="1405" spans="51:51">
      <c r="AY1405" s="647"/>
    </row>
    <row r="1406" spans="51:51">
      <c r="AY1406" s="647"/>
    </row>
    <row r="1407" spans="51:51">
      <c r="AY1407" s="647"/>
    </row>
    <row r="1408" spans="51:51">
      <c r="AY1408" s="647"/>
    </row>
    <row r="1409" spans="51:51">
      <c r="AY1409" s="647"/>
    </row>
    <row r="1410" spans="51:51">
      <c r="AY1410" s="647"/>
    </row>
    <row r="1411" spans="51:51">
      <c r="AY1411" s="647"/>
    </row>
    <row r="1412" spans="51:51">
      <c r="AY1412" s="647"/>
    </row>
    <row r="1413" spans="51:51">
      <c r="AY1413" s="647"/>
    </row>
    <row r="1414" spans="51:51">
      <c r="AY1414" s="647"/>
    </row>
    <row r="1415" spans="51:51">
      <c r="AY1415" s="647"/>
    </row>
    <row r="1416" spans="51:51">
      <c r="AY1416" s="647"/>
    </row>
    <row r="1417" spans="51:51">
      <c r="AY1417" s="647"/>
    </row>
    <row r="1418" spans="51:51">
      <c r="AY1418" s="647"/>
    </row>
    <row r="1419" spans="51:51">
      <c r="AY1419" s="647"/>
    </row>
    <row r="1420" spans="51:51">
      <c r="AY1420" s="647"/>
    </row>
    <row r="1421" spans="51:51">
      <c r="AY1421" s="647"/>
    </row>
    <row r="1422" spans="51:51">
      <c r="AY1422" s="647"/>
    </row>
    <row r="1423" spans="51:51">
      <c r="AY1423" s="647"/>
    </row>
    <row r="1424" spans="51:51">
      <c r="AY1424" s="647"/>
    </row>
    <row r="1425" spans="51:51">
      <c r="AY1425" s="647"/>
    </row>
    <row r="1426" spans="51:51">
      <c r="AY1426" s="647"/>
    </row>
    <row r="1427" spans="51:51">
      <c r="AY1427" s="647"/>
    </row>
    <row r="1428" spans="51:51">
      <c r="AY1428" s="647"/>
    </row>
    <row r="1429" spans="51:51">
      <c r="AY1429" s="647"/>
    </row>
    <row r="1430" spans="51:51">
      <c r="AY1430" s="647"/>
    </row>
    <row r="1431" spans="51:51">
      <c r="AY1431" s="647"/>
    </row>
    <row r="1432" spans="51:51">
      <c r="AY1432" s="647"/>
    </row>
    <row r="1433" spans="51:51">
      <c r="AY1433" s="647"/>
    </row>
    <row r="1434" spans="51:51">
      <c r="AY1434" s="647"/>
    </row>
    <row r="1435" spans="51:51">
      <c r="AY1435" s="647"/>
    </row>
    <row r="1436" spans="51:51">
      <c r="AY1436" s="647"/>
    </row>
    <row r="1437" spans="51:51">
      <c r="AY1437" s="647"/>
    </row>
    <row r="1438" spans="51:51">
      <c r="AY1438" s="647"/>
    </row>
    <row r="1439" spans="51:51">
      <c r="AY1439" s="647"/>
    </row>
    <row r="1440" spans="51:51">
      <c r="AY1440" s="647"/>
    </row>
    <row r="1441" spans="51:51">
      <c r="AY1441" s="647"/>
    </row>
    <row r="1442" spans="51:51">
      <c r="AY1442" s="647"/>
    </row>
    <row r="1443" spans="51:51">
      <c r="AY1443" s="647"/>
    </row>
    <row r="1444" spans="51:51">
      <c r="AY1444" s="647"/>
    </row>
    <row r="1445" spans="51:51">
      <c r="AY1445" s="647"/>
    </row>
    <row r="1446" spans="51:51">
      <c r="AY1446" s="647"/>
    </row>
    <row r="1447" spans="51:51">
      <c r="AY1447" s="647"/>
    </row>
    <row r="1448" spans="51:51">
      <c r="AY1448" s="647"/>
    </row>
    <row r="1449" spans="51:51">
      <c r="AY1449" s="647"/>
    </row>
    <row r="1450" spans="51:51">
      <c r="AY1450" s="647"/>
    </row>
    <row r="1451" spans="51:51">
      <c r="AY1451" s="647"/>
    </row>
    <row r="1452" spans="51:51">
      <c r="AY1452" s="647"/>
    </row>
    <row r="1453" spans="51:51">
      <c r="AY1453" s="647"/>
    </row>
    <row r="1454" spans="51:51">
      <c r="AY1454" s="647"/>
    </row>
    <row r="1455" spans="51:51">
      <c r="AY1455" s="647"/>
    </row>
    <row r="1456" spans="51:51">
      <c r="AY1456" s="647"/>
    </row>
    <row r="1457" spans="51:51">
      <c r="AY1457" s="647"/>
    </row>
    <row r="1458" spans="51:51">
      <c r="AY1458" s="647"/>
    </row>
    <row r="1459" spans="51:51">
      <c r="AY1459" s="647"/>
    </row>
    <row r="1460" spans="51:51">
      <c r="AY1460" s="647"/>
    </row>
    <row r="1461" spans="51:51">
      <c r="AY1461" s="647"/>
    </row>
    <row r="1462" spans="51:51">
      <c r="AY1462" s="647"/>
    </row>
    <row r="1463" spans="51:51">
      <c r="AY1463" s="647"/>
    </row>
    <row r="1464" spans="51:51">
      <c r="AY1464" s="647"/>
    </row>
    <row r="1465" spans="51:51">
      <c r="AY1465" s="647"/>
    </row>
    <row r="1466" spans="51:51">
      <c r="AY1466" s="647"/>
    </row>
    <row r="1467" spans="51:51">
      <c r="AY1467" s="647"/>
    </row>
    <row r="1468" spans="51:51">
      <c r="AY1468" s="647"/>
    </row>
    <row r="1469" spans="51:51">
      <c r="AY1469" s="647"/>
    </row>
    <row r="1470" spans="51:51">
      <c r="AY1470" s="647"/>
    </row>
    <row r="1471" spans="51:51">
      <c r="AY1471" s="647"/>
    </row>
    <row r="1472" spans="51:51">
      <c r="AY1472" s="647"/>
    </row>
    <row r="1473" spans="51:51">
      <c r="AY1473" s="647"/>
    </row>
    <row r="1474" spans="51:51">
      <c r="AY1474" s="647"/>
    </row>
  </sheetData>
  <sheetProtection algorithmName="SHA-512" hashValue="J3YRHo3YsHdQPx3r8Aj0mG9kqx9wWwdZxVFZ9miyRlrtO8uL4Xf1YNGEJPhNeFesnnGkfFU8Y2dsG8RG40uj9Q==" saltValue="shqzfGo+Nm17kceKKcNpqg==" spinCount="100000" sheet="1" objects="1" scenarios="1" selectLockedCells="1"/>
  <protectedRanges>
    <protectedRange sqref="AU66 AT97 AU95:AU97 AZ76:AZ92" name="範囲1_3_1"/>
    <protectedRange sqref="AW6:AW7" name="範囲1_2_1"/>
    <protectedRange sqref="A52 Q52:U53 AE52:AI53 AK73:AL73 AE73:AH73 L73:V73 AO73:AP73 H64 H71:T72 AB71:AQ72 A56 Q56:U57 AE56:AI57 H68:K70 AB68:AE68 AF66:AQ70 Y69:AE70 Y66:AE67 L66:X70 A60 Q60:U61 AE60:AI61" name="範囲1_2_2"/>
    <protectedRange sqref="D63:AQ63 D75 R75 D76:E76 F75:H76 T75:V76 S76 P75:P92 D77:H92 N76:N92 AB75:AD92 Z75:Z92 AI75:AQ92" name="範囲1_3_1_1"/>
    <protectedRange sqref="Z41:Z42 P41:P42 AK12 R6 L6 S14:S15 AK5 F8:F10 AB8 M8 Y8:Y11 P9:P10 V41:V42 F6 J6 R41:R42 Z12 P14:P15 AB4:AB5" name="範囲1_2_1_1"/>
    <protectedRange sqref="B35:AB37 AI32:AJ32 M26:O31 AO32:AQ32 B46:L49 B26:K32 L32:AG32 AO26:AO31 AH26:AH31 AE26:AE31 AL26:AL31 AO35:AO37 AH35:AH37 AE35:AE37 AL35:AL37 N46:AC49 AO46:AO49 AH46:AH49 AE46:AE49 AL46:AL49 Q26:Q31 U26:AC31" name="範囲1_1_2_1_1"/>
    <protectedRange sqref="Z16:AP16 X15:Z15 W18 AH17:AH22 B22:D22 W22 W20" name="範囲1_1_1_1_1_1"/>
  </protectedRanges>
  <mergeCells count="382">
    <mergeCell ref="A1:AQ1"/>
    <mergeCell ref="A2:J2"/>
    <mergeCell ref="K2:P2"/>
    <mergeCell ref="Q2:U2"/>
    <mergeCell ref="V2:AB2"/>
    <mergeCell ref="AC2:AP2"/>
    <mergeCell ref="A3:P3"/>
    <mergeCell ref="Q3:AB3"/>
    <mergeCell ref="AC3:AQ3"/>
    <mergeCell ref="A4:E4"/>
    <mergeCell ref="F4:U4"/>
    <mergeCell ref="V4:AA4"/>
    <mergeCell ref="AB4:AQ4"/>
    <mergeCell ref="A5:E5"/>
    <mergeCell ref="F5:U5"/>
    <mergeCell ref="V5:AA5"/>
    <mergeCell ref="AB5:AD5"/>
    <mergeCell ref="AE5:AI5"/>
    <mergeCell ref="AJ5:AQ5"/>
    <mergeCell ref="A6:E6"/>
    <mergeCell ref="G6:I6"/>
    <mergeCell ref="K6:M6"/>
    <mergeCell ref="V6:AA6"/>
    <mergeCell ref="AB6:AQ6"/>
    <mergeCell ref="A7:E7"/>
    <mergeCell ref="F7:K7"/>
    <mergeCell ref="L7:U7"/>
    <mergeCell ref="V7:AA7"/>
    <mergeCell ref="AB7:AQ7"/>
    <mergeCell ref="A8:E8"/>
    <mergeCell ref="F8:U8"/>
    <mergeCell ref="V8:AA8"/>
    <mergeCell ref="AB8:AQ8"/>
    <mergeCell ref="F9:I9"/>
    <mergeCell ref="J9:AQ9"/>
    <mergeCell ref="F10:I10"/>
    <mergeCell ref="J10:AQ10"/>
    <mergeCell ref="A11:E11"/>
    <mergeCell ref="F11:H11"/>
    <mergeCell ref="I11:U11"/>
    <mergeCell ref="V11:AA11"/>
    <mergeCell ref="AB11:AQ11"/>
    <mergeCell ref="A9:E10"/>
    <mergeCell ref="A14:O14"/>
    <mergeCell ref="Q14:R14"/>
    <mergeCell ref="T14:U14"/>
    <mergeCell ref="V14:AA14"/>
    <mergeCell ref="AB14:AC14"/>
    <mergeCell ref="AD14:AF14"/>
    <mergeCell ref="AG14:AL14"/>
    <mergeCell ref="AM14:AN14"/>
    <mergeCell ref="AO14:AQ14"/>
    <mergeCell ref="A15:O15"/>
    <mergeCell ref="Q15:R15"/>
    <mergeCell ref="T15:U15"/>
    <mergeCell ref="V15:AA15"/>
    <mergeCell ref="AB15:AQ15"/>
    <mergeCell ref="A16:O16"/>
    <mergeCell ref="P16:U16"/>
    <mergeCell ref="V16:AA16"/>
    <mergeCell ref="AB16:AQ16"/>
    <mergeCell ref="AU16:AV16"/>
    <mergeCell ref="I17:O17"/>
    <mergeCell ref="P17:U17"/>
    <mergeCell ref="V17:AA17"/>
    <mergeCell ref="AB17:AQ17"/>
    <mergeCell ref="I18:O18"/>
    <mergeCell ref="P18:U18"/>
    <mergeCell ref="V18:AA18"/>
    <mergeCell ref="AB18:AQ18"/>
    <mergeCell ref="I22:O22"/>
    <mergeCell ref="P22:U22"/>
    <mergeCell ref="V22:AA22"/>
    <mergeCell ref="AB22:AQ22"/>
    <mergeCell ref="A23:AQ23"/>
    <mergeCell ref="A24:AQ24"/>
    <mergeCell ref="B25:K25"/>
    <mergeCell ref="L25:P25"/>
    <mergeCell ref="Q25:AC25"/>
    <mergeCell ref="AD25:AJ25"/>
    <mergeCell ref="AK25:AQ25"/>
    <mergeCell ref="A17:G22"/>
    <mergeCell ref="I19:O19"/>
    <mergeCell ref="P19:U19"/>
    <mergeCell ref="V19:AA19"/>
    <mergeCell ref="AB19:AQ19"/>
    <mergeCell ref="I20:O20"/>
    <mergeCell ref="P20:U20"/>
    <mergeCell ref="V20:AA20"/>
    <mergeCell ref="AB20:AQ20"/>
    <mergeCell ref="I21:O21"/>
    <mergeCell ref="P21:U21"/>
    <mergeCell ref="V21:AA21"/>
    <mergeCell ref="AB21:AQ21"/>
    <mergeCell ref="B26:K26"/>
    <mergeCell ref="L26:P26"/>
    <mergeCell ref="Q26:AC26"/>
    <mergeCell ref="AD26:AJ26"/>
    <mergeCell ref="AK26:AQ26"/>
    <mergeCell ref="B27:K27"/>
    <mergeCell ref="L27:P27"/>
    <mergeCell ref="Q27:AC27"/>
    <mergeCell ref="AD27:AJ27"/>
    <mergeCell ref="AK27:AQ27"/>
    <mergeCell ref="B28:K28"/>
    <mergeCell ref="L28:P28"/>
    <mergeCell ref="Q28:AC28"/>
    <mergeCell ref="AD28:AJ28"/>
    <mergeCell ref="AK28:AQ28"/>
    <mergeCell ref="B29:K29"/>
    <mergeCell ref="L29:P29"/>
    <mergeCell ref="Q29:AC29"/>
    <mergeCell ref="AD29:AJ29"/>
    <mergeCell ref="AK29:AQ29"/>
    <mergeCell ref="B30:K30"/>
    <mergeCell ref="L30:P30"/>
    <mergeCell ref="Q30:AC30"/>
    <mergeCell ref="AD30:AJ30"/>
    <mergeCell ref="AK30:AQ30"/>
    <mergeCell ref="B31:K31"/>
    <mergeCell ref="L31:P31"/>
    <mergeCell ref="Q31:AC31"/>
    <mergeCell ref="AD31:AJ31"/>
    <mergeCell ref="AK31:AQ31"/>
    <mergeCell ref="A32:AO32"/>
    <mergeCell ref="AP32:AQ32"/>
    <mergeCell ref="A33:AQ33"/>
    <mergeCell ref="B34:K34"/>
    <mergeCell ref="L34:AC34"/>
    <mergeCell ref="AD34:AJ34"/>
    <mergeCell ref="AK34:AQ34"/>
    <mergeCell ref="B35:K35"/>
    <mergeCell ref="L35:AC35"/>
    <mergeCell ref="AD35:AJ35"/>
    <mergeCell ref="AK35:AQ35"/>
    <mergeCell ref="B36:K36"/>
    <mergeCell ref="L36:AC36"/>
    <mergeCell ref="AD36:AJ36"/>
    <mergeCell ref="AK36:AQ36"/>
    <mergeCell ref="B37:K37"/>
    <mergeCell ref="L37:AC37"/>
    <mergeCell ref="AD37:AJ37"/>
    <mergeCell ref="AK37:AQ37"/>
    <mergeCell ref="A38:AQ38"/>
    <mergeCell ref="A39:AQ39"/>
    <mergeCell ref="A40:O40"/>
    <mergeCell ref="P40:U40"/>
    <mergeCell ref="V40:AE40"/>
    <mergeCell ref="AF40:AL40"/>
    <mergeCell ref="AM40:AQ40"/>
    <mergeCell ref="A41:O41"/>
    <mergeCell ref="P41:U41"/>
    <mergeCell ref="V41:AE41"/>
    <mergeCell ref="AF41:AL41"/>
    <mergeCell ref="AM41:AQ41"/>
    <mergeCell ref="A42:O42"/>
    <mergeCell ref="P42:U42"/>
    <mergeCell ref="V42:AE42"/>
    <mergeCell ref="AF42:AL42"/>
    <mergeCell ref="AM42:AQ42"/>
    <mergeCell ref="A43:AQ43"/>
    <mergeCell ref="A44:AQ44"/>
    <mergeCell ref="B45:N45"/>
    <mergeCell ref="O45:AC45"/>
    <mergeCell ref="AD45:AJ45"/>
    <mergeCell ref="AK45:AQ45"/>
    <mergeCell ref="B46:N46"/>
    <mergeCell ref="O46:AC46"/>
    <mergeCell ref="AD46:AJ46"/>
    <mergeCell ref="AK46:AQ46"/>
    <mergeCell ref="B47:N47"/>
    <mergeCell ref="O47:AC47"/>
    <mergeCell ref="AD47:AJ47"/>
    <mergeCell ref="AK47:AQ47"/>
    <mergeCell ref="B48:N48"/>
    <mergeCell ref="O48:AC48"/>
    <mergeCell ref="AD48:AJ48"/>
    <mergeCell ref="AK48:AQ48"/>
    <mergeCell ref="B49:N49"/>
    <mergeCell ref="O49:AC49"/>
    <mergeCell ref="AD49:AJ49"/>
    <mergeCell ref="AK49:AQ49"/>
    <mergeCell ref="A50:AQ50"/>
    <mergeCell ref="A51:E51"/>
    <mergeCell ref="F51:P51"/>
    <mergeCell ref="Q51:V51"/>
    <mergeCell ref="W51:AD51"/>
    <mergeCell ref="AE51:AI51"/>
    <mergeCell ref="AJ51:AQ51"/>
    <mergeCell ref="A52:E52"/>
    <mergeCell ref="F52:P52"/>
    <mergeCell ref="Q52:V52"/>
    <mergeCell ref="W52:AD52"/>
    <mergeCell ref="AE52:AI52"/>
    <mergeCell ref="AJ52:AQ52"/>
    <mergeCell ref="A53:E53"/>
    <mergeCell ref="F53:P53"/>
    <mergeCell ref="Q53:V53"/>
    <mergeCell ref="W53:AD53"/>
    <mergeCell ref="AE53:AI53"/>
    <mergeCell ref="AJ53:AQ53"/>
    <mergeCell ref="A54:E54"/>
    <mergeCell ref="F54:AD54"/>
    <mergeCell ref="AE54:AI54"/>
    <mergeCell ref="AJ54:AQ54"/>
    <mergeCell ref="A55:E55"/>
    <mergeCell ref="F55:P55"/>
    <mergeCell ref="Q55:V55"/>
    <mergeCell ref="W55:AD55"/>
    <mergeCell ref="AE55:AI55"/>
    <mergeCell ref="AJ55:AQ55"/>
    <mergeCell ref="A56:E56"/>
    <mergeCell ref="F56:P56"/>
    <mergeCell ref="Q56:V56"/>
    <mergeCell ref="W56:AD56"/>
    <mergeCell ref="AE56:AI56"/>
    <mergeCell ref="AJ56:AQ56"/>
    <mergeCell ref="A57:E57"/>
    <mergeCell ref="F57:P57"/>
    <mergeCell ref="Q57:V57"/>
    <mergeCell ref="W57:AD57"/>
    <mergeCell ref="AE57:AI57"/>
    <mergeCell ref="AJ57:AQ57"/>
    <mergeCell ref="A58:E58"/>
    <mergeCell ref="F58:AD58"/>
    <mergeCell ref="AE58:AI58"/>
    <mergeCell ref="AJ58:AQ58"/>
    <mergeCell ref="A59:E59"/>
    <mergeCell ref="F59:P59"/>
    <mergeCell ref="Q59:V59"/>
    <mergeCell ref="W59:AD59"/>
    <mergeCell ref="AE59:AI59"/>
    <mergeCell ref="AJ59:AQ59"/>
    <mergeCell ref="A60:E60"/>
    <mergeCell ref="F60:P60"/>
    <mergeCell ref="Q60:V60"/>
    <mergeCell ref="W60:AD60"/>
    <mergeCell ref="AE60:AI60"/>
    <mergeCell ref="AJ60:AQ60"/>
    <mergeCell ref="A61:E61"/>
    <mergeCell ref="F61:P61"/>
    <mergeCell ref="Q61:V61"/>
    <mergeCell ref="W61:AD61"/>
    <mergeCell ref="AE61:AI61"/>
    <mergeCell ref="AJ61:AQ61"/>
    <mergeCell ref="A62:E62"/>
    <mergeCell ref="F62:AD62"/>
    <mergeCell ref="AE62:AI62"/>
    <mergeCell ref="AJ62:AQ62"/>
    <mergeCell ref="A63:AQ63"/>
    <mergeCell ref="A64:G64"/>
    <mergeCell ref="H64:AA64"/>
    <mergeCell ref="AB64:AG64"/>
    <mergeCell ref="AH64:AQ64"/>
    <mergeCell ref="A65:G65"/>
    <mergeCell ref="H65:P65"/>
    <mergeCell ref="Q65:V65"/>
    <mergeCell ref="W65:AA65"/>
    <mergeCell ref="AB65:AG65"/>
    <mergeCell ref="AH65:AQ65"/>
    <mergeCell ref="H66:K66"/>
    <mergeCell ref="L66:AQ66"/>
    <mergeCell ref="H67:K67"/>
    <mergeCell ref="L67:AQ67"/>
    <mergeCell ref="A68:G68"/>
    <mergeCell ref="H68:J68"/>
    <mergeCell ref="K68:T68"/>
    <mergeCell ref="U68:AA68"/>
    <mergeCell ref="AB68:AD68"/>
    <mergeCell ref="AE68:AQ68"/>
    <mergeCell ref="A69:G69"/>
    <mergeCell ref="H69:AQ69"/>
    <mergeCell ref="A70:G70"/>
    <mergeCell ref="H70:AQ70"/>
    <mergeCell ref="A71:G71"/>
    <mergeCell ref="H71:T71"/>
    <mergeCell ref="U71:AA71"/>
    <mergeCell ref="AB71:AD71"/>
    <mergeCell ref="AE71:AQ71"/>
    <mergeCell ref="A72:G72"/>
    <mergeCell ref="H72:T72"/>
    <mergeCell ref="U72:AA72"/>
    <mergeCell ref="AB72:AD72"/>
    <mergeCell ref="AE72:AQ72"/>
    <mergeCell ref="A73:AQ73"/>
    <mergeCell ref="A74:C74"/>
    <mergeCell ref="D74:M74"/>
    <mergeCell ref="N74:Q74"/>
    <mergeCell ref="R74:V74"/>
    <mergeCell ref="W74:AQ74"/>
    <mergeCell ref="W75:Y75"/>
    <mergeCell ref="Z75:AQ75"/>
    <mergeCell ref="W76:Y76"/>
    <mergeCell ref="Z76:AQ76"/>
    <mergeCell ref="W77:Y77"/>
    <mergeCell ref="Z77:AQ77"/>
    <mergeCell ref="W78:Y78"/>
    <mergeCell ref="Z78:AQ78"/>
    <mergeCell ref="W79:Y79"/>
    <mergeCell ref="Z79:AQ79"/>
    <mergeCell ref="W80:Y80"/>
    <mergeCell ref="Z80:AQ80"/>
    <mergeCell ref="W81:Y81"/>
    <mergeCell ref="Z81:AQ81"/>
    <mergeCell ref="W82:Y82"/>
    <mergeCell ref="Z82:AQ82"/>
    <mergeCell ref="W83:Y83"/>
    <mergeCell ref="Z83:AQ83"/>
    <mergeCell ref="W84:Y84"/>
    <mergeCell ref="Z84:AQ84"/>
    <mergeCell ref="W85:Y85"/>
    <mergeCell ref="Z85:AQ85"/>
    <mergeCell ref="W86:Y86"/>
    <mergeCell ref="Z86:AQ86"/>
    <mergeCell ref="W87:Y87"/>
    <mergeCell ref="Z87:AQ87"/>
    <mergeCell ref="W88:Y88"/>
    <mergeCell ref="Z88:AQ88"/>
    <mergeCell ref="W89:Y89"/>
    <mergeCell ref="Z89:AQ89"/>
    <mergeCell ref="W90:Y90"/>
    <mergeCell ref="Z90:AQ90"/>
    <mergeCell ref="W91:Y91"/>
    <mergeCell ref="Z91:AQ91"/>
    <mergeCell ref="W92:Y92"/>
    <mergeCell ref="Z92:AQ92"/>
    <mergeCell ref="A93:AQ93"/>
    <mergeCell ref="A94:AQ94"/>
    <mergeCell ref="A95:AQ95"/>
    <mergeCell ref="B97:O97"/>
    <mergeCell ref="B98:O98"/>
    <mergeCell ref="B99:O99"/>
    <mergeCell ref="B100:O100"/>
    <mergeCell ref="Y98:AD99"/>
    <mergeCell ref="H17:H18"/>
    <mergeCell ref="H19:H20"/>
    <mergeCell ref="H21:H22"/>
    <mergeCell ref="D81:M82"/>
    <mergeCell ref="R87:V88"/>
    <mergeCell ref="N91:Q92"/>
    <mergeCell ref="R91:V92"/>
    <mergeCell ref="AE98:AP99"/>
    <mergeCell ref="AZ4:AZ19"/>
    <mergeCell ref="R85:V86"/>
    <mergeCell ref="D85:M86"/>
    <mergeCell ref="D87:M88"/>
    <mergeCell ref="N77:Q78"/>
    <mergeCell ref="N79:Q80"/>
    <mergeCell ref="N81:Q82"/>
    <mergeCell ref="N83:Q84"/>
    <mergeCell ref="N85:Q86"/>
    <mergeCell ref="N87:Q88"/>
    <mergeCell ref="N75:Q76"/>
    <mergeCell ref="D83:M84"/>
    <mergeCell ref="R83:V84"/>
    <mergeCell ref="A66:G67"/>
    <mergeCell ref="A77:C78"/>
    <mergeCell ref="R75:V76"/>
    <mergeCell ref="A89:C90"/>
    <mergeCell ref="D89:M90"/>
    <mergeCell ref="N89:Q90"/>
    <mergeCell ref="R89:V90"/>
    <mergeCell ref="A91:C92"/>
    <mergeCell ref="D91:M92"/>
    <mergeCell ref="F12:U13"/>
    <mergeCell ref="AM12:AQ13"/>
    <mergeCell ref="V12:AA13"/>
    <mergeCell ref="AG12:AL13"/>
    <mergeCell ref="AB12:AF13"/>
    <mergeCell ref="A12:E13"/>
    <mergeCell ref="A81:C82"/>
    <mergeCell ref="A83:C84"/>
    <mergeCell ref="A87:C88"/>
    <mergeCell ref="R77:V78"/>
    <mergeCell ref="A75:C76"/>
    <mergeCell ref="A79:C80"/>
    <mergeCell ref="R79:V80"/>
    <mergeCell ref="R81:V82"/>
    <mergeCell ref="D75:M76"/>
    <mergeCell ref="D77:M78"/>
    <mergeCell ref="D79:M80"/>
    <mergeCell ref="A85:C86"/>
  </mergeCells>
  <phoneticPr fontId="96"/>
  <dataValidations count="33">
    <dataValidation type="list" allowBlank="1" showInputMessage="1" showErrorMessage="1" sqref="AC2 BD6:BD7" xr:uid="{00000000-0002-0000-0000-000000000000}">
      <formula1>LANGUAGE</formula1>
    </dataValidation>
    <dataValidation type="list" allowBlank="1" showInputMessage="1" showErrorMessage="1" errorTitle="ERROR" sqref="AB4" xr:uid="{00000000-0002-0000-0000-000001000000}">
      <formula1>INDIRECT($BB$5)</formula1>
    </dataValidation>
    <dataValidation showErrorMessage="1" sqref="AB72:AD72" xr:uid="{00000000-0002-0000-0000-000002000000}"/>
    <dataValidation allowBlank="1" showInputMessage="1" sqref="F7:K7" xr:uid="{00000000-0002-0000-0000-000003000000}"/>
    <dataValidation type="list" allowBlank="1" showInputMessage="1" showErrorMessage="1" sqref="AB5:AD5 AJ52:AQ52 AJ56:AQ56 AJ60:AQ60" xr:uid="{00000000-0002-0000-0000-000004000000}">
      <formula1>INDIRECT($BB$6)</formula1>
    </dataValidation>
    <dataValidation type="list" allowBlank="1" showInputMessage="1" showErrorMessage="1" sqref="F6 J6 P14:P15 S14:S15" xr:uid="{00000000-0002-0000-0000-000005000000}">
      <formula1>"■,□"</formula1>
    </dataValidation>
    <dataValidation type="list" showErrorMessage="1" prompt="_x000a_" sqref="AB8:AQ8" xr:uid="{00000000-0002-0000-0000-000007000000}">
      <formula1>INDIRECT($BB$11)</formula1>
    </dataValidation>
    <dataValidation showInputMessage="1" showErrorMessage="1" sqref="F12" xr:uid="{00000000-0002-0000-0000-000008000000}"/>
    <dataValidation type="list" allowBlank="1" showInputMessage="1" showErrorMessage="1" sqref="AB15:AQ15" xr:uid="{00000000-0002-0000-0000-000009000000}">
      <formula1>INDIRECT($BB$14)</formula1>
    </dataValidation>
    <dataValidation allowBlank="1" showInputMessage="1" showErrorMessage="1" prompt="Please enter Year, month then day. _x000a_For example 2018/12/31" sqref="S98:X99" xr:uid="{00000000-0002-0000-0000-00000A000000}"/>
    <dataValidation type="list" allowBlank="1" showInputMessage="1" showErrorMessage="1" sqref="AJ51:AQ51 AJ55:AQ55 AJ59:AQ59 H72:T72 R77 R79 R81 R83 R85 R87 R89 R91" xr:uid="{00000000-0002-0000-0000-00000B000000}">
      <formula1>INDIRECT($BB$11)</formula1>
    </dataValidation>
    <dataValidation type="list" allowBlank="1" showInputMessage="1" showErrorMessage="1" sqref="AB16" xr:uid="{00000000-0002-0000-0000-00000C000000}">
      <formula1>INDIRECT(BB10)</formula1>
    </dataValidation>
    <dataValidation type="list" allowBlank="1" showInputMessage="1" showErrorMessage="1" sqref="AC16:AD16" xr:uid="{00000000-0002-0000-0000-00000D000000}">
      <formula1>INDIRECT(#REF!)</formula1>
    </dataValidation>
    <dataValidation type="list" allowBlank="1" showInputMessage="1" showErrorMessage="1" sqref="AE16:AQ16" xr:uid="{00000000-0002-0000-0000-00000E000000}">
      <formula1>INDIRECT(BC10)</formula1>
    </dataValidation>
    <dataValidation type="list" allowBlank="1" showInputMessage="1" showErrorMessage="1" sqref="AB17:AQ17 AB19:AQ19 AB21:AQ21 W52:AD52 W56:AD56 W60:AD60" xr:uid="{00000000-0002-0000-0000-00000F000000}">
      <formula1>INDIRECT($BB$7)</formula1>
    </dataValidation>
    <dataValidation allowBlank="1" showErrorMessage="1" sqref="F51:P51 B46:AC49 AE71:AQ71" xr:uid="{00000000-0002-0000-0000-000010000000}"/>
    <dataValidation type="list" allowBlank="1" showInputMessage="1" showErrorMessage="1" sqref="AB18:AQ18 AB20:AQ20 AB22:AQ22" xr:uid="{00000000-0002-0000-0000-000011000000}">
      <formula1>INDIRECT($BB$19)</formula1>
    </dataValidation>
    <dataValidation type="list" allowBlank="1" showInputMessage="1" showErrorMessage="1" sqref="V41:AE42" xr:uid="{00000000-0002-0000-0000-000012000000}">
      <formula1>INDIRECT($BB$18)</formula1>
    </dataValidation>
    <dataValidation type="list" allowBlank="1" showInputMessage="1" showErrorMessage="1" sqref="F52:P52 F56:P56 F60:P60" xr:uid="{00000000-0002-0000-0000-000013000000}">
      <formula1>INDIRECT($BB$8)</formula1>
    </dataValidation>
    <dataValidation type="list" allowBlank="1" showInputMessage="1" showErrorMessage="1" sqref="F53:P53 F57:P57 F61:P61 H65:P65 W65" xr:uid="{00000000-0002-0000-0000-000014000000}">
      <formula1>INDIRECT($BB$5)</formula1>
    </dataValidation>
    <dataValidation type="list" showErrorMessage="1" error="ERROR" sqref="AH64" xr:uid="{00000000-0002-0000-0000-000015000000}">
      <formula1>INDIRECT(BB9)</formula1>
    </dataValidation>
    <dataValidation allowBlank="1" sqref="H71:T71 P17:U22" xr:uid="{00000000-0002-0000-0000-000016000000}"/>
    <dataValidation type="list" showErrorMessage="1" sqref="B97:O97" xr:uid="{00000000-0002-0000-0000-000017000000}">
      <formula1>"進和外語アカデミー,東京平井日本語学校"</formula1>
    </dataValidation>
    <dataValidation type="list" allowBlank="1" showInputMessage="1" showErrorMessage="1" sqref="A41:A42" xr:uid="{00000000-0002-0000-0000-000019000000}">
      <formula1>TESTS</formula1>
    </dataValidation>
    <dataValidation type="list" allowBlank="1" showInputMessage="1" showErrorMessage="1" sqref="P41:P42" xr:uid="{00000000-0002-0000-0000-00001A000000}">
      <formula1>"5,4,3,2,1"</formula1>
    </dataValidation>
    <dataValidation type="list" allowBlank="1" showInputMessage="1" showErrorMessage="1" errorTitle="ERROR" error="ERROR" sqref="A79:C92" xr:uid="{00000000-0002-0000-0000-00001C000000}">
      <formula1>INDIRECT($BB$8)</formula1>
    </dataValidation>
    <dataValidation allowBlank="1" showInputMessage="1" showErrorMessage="1" errorTitle="ERROR" error="ERROR" sqref="A77:C78" xr:uid="{00000000-0002-0000-0000-00001E000000}"/>
    <dataValidation type="list" allowBlank="1" showInputMessage="1" showErrorMessage="1" sqref="L27:P31" xr:uid="{00000000-0002-0000-0000-000020000000}">
      <formula1>INDIRECT($BB$12)</formula1>
    </dataValidation>
    <dataValidation type="decimal" allowBlank="1" showInputMessage="1" showErrorMessage="1" error="Please enter numbers only._x000a_番号のみを入力してください。" prompt="Please enter number only._x000a_番号のみを入力してください。" sqref="AE72:AQ72" xr:uid="{CD8ABE4B-6192-47D1-87B4-448F0F9EB0AB}">
      <formula1>1</formula1>
      <formula2>999999999999.99</formula2>
    </dataValidation>
    <dataValidation type="whole" allowBlank="1" showInputMessage="1" showErrorMessage="1" error="Please enter numbers only._x000a_番号のみを入力してください。" prompt="Please enter numbers only._x000a_番号のみを入力してください。" sqref="P16:U16" xr:uid="{F03B893C-498F-405F-A300-461A588B65F5}">
      <formula1>0</formula1>
      <formula2>30</formula2>
    </dataValidation>
    <dataValidation type="whole" allowBlank="1" showInputMessage="1" showErrorMessage="1" error="Please enter numbers only._x000a_番号のみを入力してください。" prompt="Please enter numbers only._x000a_番号のみを入力してください。" sqref="AB14:AC14 AM14:AN14" xr:uid="{4AD84B59-C6BE-4AB1-9012-93B5182E1C35}">
      <formula1>0</formula1>
      <formula2>10</formula2>
    </dataValidation>
    <dataValidation allowBlank="1" showInputMessage="1" showErrorMessage="1" prompt="Please only enter an address if your registered address is different to your current address._x000a_現住所が戸籍住所と異なる場合にのみ、住所を入力してください。" sqref="J9:AQ9 L66:AQ66 Z77:AQ77 Z79:AQ79 Z81:AQ81 Z83:AQ83 Z85:AQ85 Z87:AQ87 Z89:AQ89 Z91:AQ91" xr:uid="{AD0949E5-9414-47F6-873F-2F31F999EE54}"/>
    <dataValidation type="date" operator="greaterThan" allowBlank="1" showInputMessage="1" showErrorMessage="1" sqref="Q2:U2" xr:uid="{1915B1F7-872A-4E3B-B058-B15DCD827702}">
      <formula1>1</formula1>
    </dataValidation>
  </dataValidations>
  <printOptions horizontalCentered="1" verticalCentered="1"/>
  <pageMargins left="0.25" right="0.25" top="0.75" bottom="0.75" header="0.3" footer="0.3"/>
  <pageSetup paperSize="9" scale="42" fitToHeight="2"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xm:f>
          </x14:formula1>
          <xm:sqref>HU7 HY7 RQ7 RU7 ABM7 ABQ7 ALI7 ALM7 AVE7 AVI7 BFA7 BFE7 BOW7 BPA7 BYS7 BYW7 CIO7 CIS7 CSK7 CSO7 DCG7 DCK7 DMC7 DMG7 DVY7 DWC7 EFU7 EFY7 EPQ7 EPU7 EZM7 EZQ7 FJI7 FJM7 FTE7 FTI7 GDA7 GDE7 GMW7 GNA7 GWS7 GWW7 HGO7 HGS7 HQK7 HQO7 IAG7 IAK7 IKC7 IKG7 ITY7 IUC7 JDU7 JDY7 JNQ7 JNU7 JXM7 JXQ7 KHI7 KHM7 KRE7 KRI7 LBA7 LBE7 LKW7 LLA7 LUS7 LUW7 MEO7 MES7 MOK7 MOO7 MYG7 MYK7 NIC7 NIG7 NRY7 NSC7 OBU7 OBY7 OLQ7 OLU7 OVM7 OVQ7 PFI7 PFM7 PPE7 PPI7 PZA7 PZE7 QIW7 QJA7 QSS7 QSW7 RCO7 RCS7 RMK7 RMO7 RWG7 RWK7 SGC7 SGG7 SPY7 SQC7 SZU7 SZY7 TJQ7 TJU7 TTM7 TTQ7 UDI7 UDM7 UNE7 UNI7 UXA7 UXE7 VGW7 VHA7 VQS7 VQW7 WAO7 WAS7 WKK7 WKO7 WUG7 WUK7 AD65231 AH65231 J65277 M65277 J65285 M65285 HW65398 IA65398 RS65398 RW65398 ABO65398 ABS65398 ALK65398 ALO65398 AVG65398 AVK65398 BFC65398 BFG65398 BOY65398 BPC65398 BYU65398 BYY65398 CIQ65398 CIU65398 CSM65398 CSQ65398 DCI65398 DCM65398 DME65398 DMI65398 DWA65398 DWE65398 EFW65398 EGA65398 EPS65398 EPW65398 EZO65398 EZS65398 FJK65398 FJO65398 FTG65398 FTK65398 GDC65398 GDG65398 GMY65398 GNC65398 GWU65398 GWY65398 HGQ65398 HGU65398 HQM65398 HQQ65398 IAI65398 IAM65398 IKE65398 IKI65398 IUA65398 IUE65398 JDW65398 JEA65398 JNS65398 JNW65398 JXO65398 JXS65398 KHK65398 KHO65398 KRG65398 KRK65398 LBC65398 LBG65398 LKY65398 LLC65398 LUU65398 LUY65398 MEQ65398 MEU65398 MOM65398 MOQ65398 MYI65398 MYM65398 NIE65398 NII65398 NSA65398 NSE65398 OBW65398 OCA65398 OLS65398 OLW65398 OVO65398 OVS65398 PFK65398 PFO65398 PPG65398 PPK65398 PZC65398 PZG65398 QIY65398 QJC65398 QSU65398 QSY65398 RCQ65398 RCU65398 RMM65398 RMQ65398 RWI65398 RWM65398 SGE65398 SGI65398 SQA65398 SQE65398 SZW65398 TAA65398 TJS65398 TJW65398 TTO65398 TTS65398 UDK65398 UDO65398 UNG65398 UNK65398 UXC65398 UXG65398 VGY65398 VHC65398 VQU65398 VQY65398 WAQ65398 WAU65398 WKM65398 WKQ65398 WUI65398 WUM65398 HC65444 HF65444 QY65444 RB65444 AAU65444 AAX65444 AKQ65444 AKT65444 AUM65444 AUP65444 BEI65444 BEL65444 BOE65444 BOH65444 BYA65444 BYD65444 CHW65444 CHZ65444 CRS65444 CRV65444 DBO65444 DBR65444 DLK65444 DLN65444 DVG65444 DVJ65444 EFC65444 EFF65444 EOY65444 EPB65444 EYU65444 EYX65444 FIQ65444 FIT65444 FSM65444 FSP65444 GCI65444 GCL65444 GME65444 GMH65444 GWA65444 GWD65444 HFW65444 HFZ65444 HPS65444 HPV65444 HZO65444 HZR65444 IJK65444 IJN65444 ITG65444 ITJ65444 JDC65444 JDF65444 JMY65444 JNB65444 JWU65444 JWX65444 KGQ65444 KGT65444 KQM65444 KQP65444 LAI65444 LAL65444 LKE65444 LKH65444 LUA65444 LUD65444 MDW65444 MDZ65444 MNS65444 MNV65444 MXO65444 MXR65444 NHK65444 NHN65444 NRG65444 NRJ65444 OBC65444 OBF65444 OKY65444 OLB65444 OUU65444 OUX65444 PEQ65444 PET65444 POM65444 POP65444 PYI65444 PYL65444 QIE65444 QIH65444 QSA65444 QSD65444 RBW65444 RBZ65444 RLS65444 RLV65444 RVO65444 RVR65444 SFK65444 SFN65444 SPG65444 SPJ65444 SZC65444 SZF65444 TIY65444 TJB65444 TSU65444 TSX65444 UCQ65444 UCT65444 UMM65444 UMP65444 UWI65444 UWL65444 VGE65444 VGH65444 VQA65444 VQD65444 VZW65444 VZZ65444 WJS65444 WJV65444 WTO65444 WTR65444 HC65452 HF65452 QY65452 RB65452 AAU65452 AAX65452 AKQ65452 AKT65452 AUM65452 AUP65452 BEI65452 BEL65452 BOE65452 BOH65452 BYA65452 BYD65452 CHW65452 CHZ65452 CRS65452 CRV65452 DBO65452 DBR65452 DLK65452 DLN65452 DVG65452 DVJ65452 EFC65452 EFF65452 EOY65452 EPB65452 EYU65452 EYX65452 FIQ65452 FIT65452 FSM65452 FSP65452 GCI65452 GCL65452 GME65452 GMH65452 GWA65452 GWD65452 HFW65452 HFZ65452 HPS65452 HPV65452 HZO65452 HZR65452 IJK65452 IJN65452 ITG65452 ITJ65452 JDC65452 JDF65452 JMY65452 JNB65452 JWU65452 JWX65452 KGQ65452 KGT65452 KQM65452 KQP65452 LAI65452 LAL65452 LKE65452 LKH65452 LUA65452 LUD65452 MDW65452 MDZ65452 MNS65452 MNV65452 MXO65452 MXR65452 NHK65452 NHN65452 NRG65452 NRJ65452 OBC65452 OBF65452 OKY65452 OLB65452 OUU65452 OUX65452 PEQ65452 PET65452 POM65452 POP65452 PYI65452 PYL65452 QIE65452 QIH65452 QSA65452 QSD65452 RBW65452 RBZ65452 RLS65452 RLV65452 RVO65452 RVR65452 SFK65452 SFN65452 SPG65452 SPJ65452 SZC65452 SZF65452 TIY65452 TJB65452 TSU65452 TSX65452 UCQ65452 UCT65452 UMM65452 UMP65452 UWI65452 UWL65452 VGE65452 VGH65452 VQA65452 VQD65452 VZW65452 VZZ65452 WJS65452 WJV65452 WTO65452 WTR65452 AD130767 AH130767 J130813 M130813 J130821 M130821 HW130934 IA130934 RS130934 RW130934 ABO130934 ABS130934 ALK130934 ALO130934 AVG130934 AVK130934 BFC130934 BFG130934 BOY130934 BPC130934 BYU130934 BYY130934 CIQ130934 CIU130934 CSM130934 CSQ130934 DCI130934 DCM130934 DME130934 DMI130934 DWA130934 DWE130934 EFW130934 EGA130934 EPS130934 EPW130934 EZO130934 EZS130934 FJK130934 FJO130934 FTG130934 FTK130934 GDC130934 GDG130934 GMY130934 GNC130934 GWU130934 GWY130934 HGQ130934 HGU130934 HQM130934 HQQ130934 IAI130934 IAM130934 IKE130934 IKI130934 IUA130934 IUE130934 JDW130934 JEA130934 JNS130934 JNW130934 JXO130934 JXS130934 KHK130934 KHO130934 KRG130934 KRK130934 LBC130934 LBG130934 LKY130934 LLC130934 LUU130934 LUY130934 MEQ130934 MEU130934 MOM130934 MOQ130934 MYI130934 MYM130934 NIE130934 NII130934 NSA130934 NSE130934 OBW130934 OCA130934 OLS130934 OLW130934 OVO130934 OVS130934 PFK130934 PFO130934 PPG130934 PPK130934 PZC130934 PZG130934 QIY130934 QJC130934 QSU130934 QSY130934 RCQ130934 RCU130934 RMM130934 RMQ130934 RWI130934 RWM130934 SGE130934 SGI130934 SQA130934 SQE130934 SZW130934 TAA130934 TJS130934 TJW130934 TTO130934 TTS130934 UDK130934 UDO130934 UNG130934 UNK130934 UXC130934 UXG130934 VGY130934 VHC130934 VQU130934 VQY130934 WAQ130934 WAU130934 WKM130934 WKQ130934 WUI130934 WUM130934 HC130980 HF130980 QY130980 RB130980 AAU130980 AAX130980 AKQ130980 AKT130980 AUM130980 AUP130980 BEI130980 BEL130980 BOE130980 BOH130980 BYA130980 BYD130980 CHW130980 CHZ130980 CRS130980 CRV130980 DBO130980 DBR130980 DLK130980 DLN130980 DVG130980 DVJ130980 EFC130980 EFF130980 EOY130980 EPB130980 EYU130980 EYX130980 FIQ130980 FIT130980 FSM130980 FSP130980 GCI130980 GCL130980 GME130980 GMH130980 GWA130980 GWD130980 HFW130980 HFZ130980 HPS130980 HPV130980 HZO130980 HZR130980 IJK130980 IJN130980 ITG130980 ITJ130980 JDC130980 JDF130980 JMY130980 JNB130980 JWU130980 JWX130980 KGQ130980 KGT130980 KQM130980 KQP130980 LAI130980 LAL130980 LKE130980 LKH130980 LUA130980 LUD130980 MDW130980 MDZ130980 MNS130980 MNV130980 MXO130980 MXR130980 NHK130980 NHN130980 NRG130980 NRJ130980 OBC130980 OBF130980 OKY130980 OLB130980 OUU130980 OUX130980 PEQ130980 PET130980 POM130980 POP130980 PYI130980 PYL130980 QIE130980 QIH130980 QSA130980 QSD130980 RBW130980 RBZ130980 RLS130980 RLV130980 RVO130980 RVR130980 SFK130980 SFN130980 SPG130980 SPJ130980 SZC130980 SZF130980 TIY130980 TJB130980 TSU130980 TSX130980 UCQ130980 UCT130980 UMM130980 UMP130980 UWI130980 UWL130980 VGE130980 VGH130980 VQA130980 VQD130980 VZW130980 VZZ130980 WJS130980 WJV130980 WTO130980 WTR130980 HC130988 HF130988 QY130988 RB130988 AAU130988 AAX130988 AKQ130988 AKT130988 AUM130988 AUP130988 BEI130988 BEL130988 BOE130988 BOH130988 BYA130988 BYD130988 CHW130988 CHZ130988 CRS130988 CRV130988 DBO130988 DBR130988 DLK130988 DLN130988 DVG130988 DVJ130988 EFC130988 EFF130988 EOY130988 EPB130988 EYU130988 EYX130988 FIQ130988 FIT130988 FSM130988 FSP130988 GCI130988 GCL130988 GME130988 GMH130988 GWA130988 GWD130988 HFW130988 HFZ130988 HPS130988 HPV130988 HZO130988 HZR130988 IJK130988 IJN130988 ITG130988 ITJ130988 JDC130988 JDF130988 JMY130988 JNB130988 JWU130988 JWX130988 KGQ130988 KGT130988 KQM130988 KQP130988 LAI130988 LAL130988 LKE130988 LKH130988 LUA130988 LUD130988 MDW130988 MDZ130988 MNS130988 MNV130988 MXO130988 MXR130988 NHK130988 NHN130988 NRG130988 NRJ130988 OBC130988 OBF130988 OKY130988 OLB130988 OUU130988 OUX130988 PEQ130988 PET130988 POM130988 POP130988 PYI130988 PYL130988 QIE130988 QIH130988 QSA130988 QSD130988 RBW130988 RBZ130988 RLS130988 RLV130988 RVO130988 RVR130988 SFK130988 SFN130988 SPG130988 SPJ130988 SZC130988 SZF130988 TIY130988 TJB130988 TSU130988 TSX130988 UCQ130988 UCT130988 UMM130988 UMP130988 UWI130988 UWL130988 VGE130988 VGH130988 VQA130988 VQD130988 VZW130988 VZZ130988 WJS130988 WJV130988 WTO130988 WTR130988 AD196303 AH196303 J196349 M196349 J196357 M196357 HW196470 IA196470 RS196470 RW196470 ABO196470 ABS196470 ALK196470 ALO196470 AVG196470 AVK196470 BFC196470 BFG196470 BOY196470 BPC196470 BYU196470 BYY196470 CIQ196470 CIU196470 CSM196470 CSQ196470 DCI196470 DCM196470 DME196470 DMI196470 DWA196470 DWE196470 EFW196470 EGA196470 EPS196470 EPW196470 EZO196470 EZS196470 FJK196470 FJO196470 FTG196470 FTK196470 GDC196470 GDG196470 GMY196470 GNC196470 GWU196470 GWY196470 HGQ196470 HGU196470 HQM196470 HQQ196470 IAI196470 IAM196470 IKE196470 IKI196470 IUA196470 IUE196470 JDW196470 JEA196470 JNS196470 JNW196470 JXO196470 JXS196470 KHK196470 KHO196470 KRG196470 KRK196470 LBC196470 LBG196470 LKY196470 LLC196470 LUU196470 LUY196470 MEQ196470 MEU196470 MOM196470 MOQ196470 MYI196470 MYM196470 NIE196470 NII196470 NSA196470 NSE196470 OBW196470 OCA196470 OLS196470 OLW196470 OVO196470 OVS196470 PFK196470 PFO196470 PPG196470 PPK196470 PZC196470 PZG196470 QIY196470 QJC196470 QSU196470 QSY196470 RCQ196470 RCU196470 RMM196470 RMQ196470 RWI196470 RWM196470 SGE196470 SGI196470 SQA196470 SQE196470 SZW196470 TAA196470 TJS196470 TJW196470 TTO196470 TTS196470 UDK196470 UDO196470 UNG196470 UNK196470 UXC196470 UXG196470 VGY196470 VHC196470 VQU196470 VQY196470 WAQ196470 WAU196470 WKM196470 WKQ196470 WUI196470 WUM196470 HC196516 HF196516 QY196516 RB196516 AAU196516 AAX196516 AKQ196516 AKT196516 AUM196516 AUP196516 BEI196516 BEL196516 BOE196516 BOH196516 BYA196516 BYD196516 CHW196516 CHZ196516 CRS196516 CRV196516 DBO196516 DBR196516 DLK196516 DLN196516 DVG196516 DVJ196516 EFC196516 EFF196516 EOY196516 EPB196516 EYU196516 EYX196516 FIQ196516 FIT196516 FSM196516 FSP196516 GCI196516 GCL196516 GME196516 GMH196516 GWA196516 GWD196516 HFW196516 HFZ196516 HPS196516 HPV196516 HZO196516 HZR196516 IJK196516 IJN196516 ITG196516 ITJ196516 JDC196516 JDF196516 JMY196516 JNB196516 JWU196516 JWX196516 KGQ196516 KGT196516 KQM196516 KQP196516 LAI196516 LAL196516 LKE196516 LKH196516 LUA196516 LUD196516 MDW196516 MDZ196516 MNS196516 MNV196516 MXO196516 MXR196516 NHK196516 NHN196516 NRG196516 NRJ196516 OBC196516 OBF196516 OKY196516 OLB196516 OUU196516 OUX196516 PEQ196516 PET196516 POM196516 POP196516 PYI196516 PYL196516 QIE196516 QIH196516 QSA196516 QSD196516 RBW196516 RBZ196516 RLS196516 RLV196516 RVO196516 RVR196516 SFK196516 SFN196516 SPG196516 SPJ196516 SZC196516 SZF196516 TIY196516 TJB196516 TSU196516 TSX196516 UCQ196516 UCT196516 UMM196516 UMP196516 UWI196516 UWL196516 VGE196516 VGH196516 VQA196516 VQD196516 VZW196516 VZZ196516 WJS196516 WJV196516 WTO196516 WTR196516 HC196524 HF196524 QY196524 RB196524 AAU196524 AAX196524 AKQ196524 AKT196524 AUM196524 AUP196524 BEI196524 BEL196524 BOE196524 BOH196524 BYA196524 BYD196524 CHW196524 CHZ196524 CRS196524 CRV196524 DBO196524 DBR196524 DLK196524 DLN196524 DVG196524 DVJ196524 EFC196524 EFF196524 EOY196524 EPB196524 EYU196524 EYX196524 FIQ196524 FIT196524 FSM196524 FSP196524 GCI196524 GCL196524 GME196524 GMH196524 GWA196524 GWD196524 HFW196524 HFZ196524 HPS196524 HPV196524 HZO196524 HZR196524 IJK196524 IJN196524 ITG196524 ITJ196524 JDC196524 JDF196524 JMY196524 JNB196524 JWU196524 JWX196524 KGQ196524 KGT196524 KQM196524 KQP196524 LAI196524 LAL196524 LKE196524 LKH196524 LUA196524 LUD196524 MDW196524 MDZ196524 MNS196524 MNV196524 MXO196524 MXR196524 NHK196524 NHN196524 NRG196524 NRJ196524 OBC196524 OBF196524 OKY196524 OLB196524 OUU196524 OUX196524 PEQ196524 PET196524 POM196524 POP196524 PYI196524 PYL196524 QIE196524 QIH196524 QSA196524 QSD196524 RBW196524 RBZ196524 RLS196524 RLV196524 RVO196524 RVR196524 SFK196524 SFN196524 SPG196524 SPJ196524 SZC196524 SZF196524 TIY196524 TJB196524 TSU196524 TSX196524 UCQ196524 UCT196524 UMM196524 UMP196524 UWI196524 UWL196524 VGE196524 VGH196524 VQA196524 VQD196524 VZW196524 VZZ196524 WJS196524 WJV196524 WTO196524 WTR196524 AD261839 AH261839 J261885 M261885 J261893 M261893 HW262006 IA262006 RS262006 RW262006 ABO262006 ABS262006 ALK262006 ALO262006 AVG262006 AVK262006 BFC262006 BFG262006 BOY262006 BPC262006 BYU262006 BYY262006 CIQ262006 CIU262006 CSM262006 CSQ262006 DCI262006 DCM262006 DME262006 DMI262006 DWA262006 DWE262006 EFW262006 EGA262006 EPS262006 EPW262006 EZO262006 EZS262006 FJK262006 FJO262006 FTG262006 FTK262006 GDC262006 GDG262006 GMY262006 GNC262006 GWU262006 GWY262006 HGQ262006 HGU262006 HQM262006 HQQ262006 IAI262006 IAM262006 IKE262006 IKI262006 IUA262006 IUE262006 JDW262006 JEA262006 JNS262006 JNW262006 JXO262006 JXS262006 KHK262006 KHO262006 KRG262006 KRK262006 LBC262006 LBG262006 LKY262006 LLC262006 LUU262006 LUY262006 MEQ262006 MEU262006 MOM262006 MOQ262006 MYI262006 MYM262006 NIE262006 NII262006 NSA262006 NSE262006 OBW262006 OCA262006 OLS262006 OLW262006 OVO262006 OVS262006 PFK262006 PFO262006 PPG262006 PPK262006 PZC262006 PZG262006 QIY262006 QJC262006 QSU262006 QSY262006 RCQ262006 RCU262006 RMM262006 RMQ262006 RWI262006 RWM262006 SGE262006 SGI262006 SQA262006 SQE262006 SZW262006 TAA262006 TJS262006 TJW262006 TTO262006 TTS262006 UDK262006 UDO262006 UNG262006 UNK262006 UXC262006 UXG262006 VGY262006 VHC262006 VQU262006 VQY262006 WAQ262006 WAU262006 WKM262006 WKQ262006 WUI262006 WUM262006 HC262052 HF262052 QY262052 RB262052 AAU262052 AAX262052 AKQ262052 AKT262052 AUM262052 AUP262052 BEI262052 BEL262052 BOE262052 BOH262052 BYA262052 BYD262052 CHW262052 CHZ262052 CRS262052 CRV262052 DBO262052 DBR262052 DLK262052 DLN262052 DVG262052 DVJ262052 EFC262052 EFF262052 EOY262052 EPB262052 EYU262052 EYX262052 FIQ262052 FIT262052 FSM262052 FSP262052 GCI262052 GCL262052 GME262052 GMH262052 GWA262052 GWD262052 HFW262052 HFZ262052 HPS262052 HPV262052 HZO262052 HZR262052 IJK262052 IJN262052 ITG262052 ITJ262052 JDC262052 JDF262052 JMY262052 JNB262052 JWU262052 JWX262052 KGQ262052 KGT262052 KQM262052 KQP262052 LAI262052 LAL262052 LKE262052 LKH262052 LUA262052 LUD262052 MDW262052 MDZ262052 MNS262052 MNV262052 MXO262052 MXR262052 NHK262052 NHN262052 NRG262052 NRJ262052 OBC262052 OBF262052 OKY262052 OLB262052 OUU262052 OUX262052 PEQ262052 PET262052 POM262052 POP262052 PYI262052 PYL262052 QIE262052 QIH262052 QSA262052 QSD262052 RBW262052 RBZ262052 RLS262052 RLV262052 RVO262052 RVR262052 SFK262052 SFN262052 SPG262052 SPJ262052 SZC262052 SZF262052 TIY262052 TJB262052 TSU262052 TSX262052 UCQ262052 UCT262052 UMM262052 UMP262052 UWI262052 UWL262052 VGE262052 VGH262052 VQA262052 VQD262052 VZW262052 VZZ262052 WJS262052 WJV262052 WTO262052 WTR262052 HC262060 HF262060 QY262060 RB262060 AAU262060 AAX262060 AKQ262060 AKT262060 AUM262060 AUP262060 BEI262060 BEL262060 BOE262060 BOH262060 BYA262060 BYD262060 CHW262060 CHZ262060 CRS262060 CRV262060 DBO262060 DBR262060 DLK262060 DLN262060 DVG262060 DVJ262060 EFC262060 EFF262060 EOY262060 EPB262060 EYU262060 EYX262060 FIQ262060 FIT262060 FSM262060 FSP262060 GCI262060 GCL262060 GME262060 GMH262060 GWA262060 GWD262060 HFW262060 HFZ262060 HPS262060 HPV262060 HZO262060 HZR262060 IJK262060 IJN262060 ITG262060 ITJ262060 JDC262060 JDF262060 JMY262060 JNB262060 JWU262060 JWX262060 KGQ262060 KGT262060 KQM262060 KQP262060 LAI262060 LAL262060 LKE262060 LKH262060 LUA262060 LUD262060 MDW262060 MDZ262060 MNS262060 MNV262060 MXO262060 MXR262060 NHK262060 NHN262060 NRG262060 NRJ262060 OBC262060 OBF262060 OKY262060 OLB262060 OUU262060 OUX262060 PEQ262060 PET262060 POM262060 POP262060 PYI262060 PYL262060 QIE262060 QIH262060 QSA262060 QSD262060 RBW262060 RBZ262060 RLS262060 RLV262060 RVO262060 RVR262060 SFK262060 SFN262060 SPG262060 SPJ262060 SZC262060 SZF262060 TIY262060 TJB262060 TSU262060 TSX262060 UCQ262060 UCT262060 UMM262060 UMP262060 UWI262060 UWL262060 VGE262060 VGH262060 VQA262060 VQD262060 VZW262060 VZZ262060 WJS262060 WJV262060 WTO262060 WTR262060 AD327375 AH327375 J327421 M327421 J327429 M327429 HW327542 IA327542 RS327542 RW327542 ABO327542 ABS327542 ALK327542 ALO327542 AVG327542 AVK327542 BFC327542 BFG327542 BOY327542 BPC327542 BYU327542 BYY327542 CIQ327542 CIU327542 CSM327542 CSQ327542 DCI327542 DCM327542 DME327542 DMI327542 DWA327542 DWE327542 EFW327542 EGA327542 EPS327542 EPW327542 EZO327542 EZS327542 FJK327542 FJO327542 FTG327542 FTK327542 GDC327542 GDG327542 GMY327542 GNC327542 GWU327542 GWY327542 HGQ327542 HGU327542 HQM327542 HQQ327542 IAI327542 IAM327542 IKE327542 IKI327542 IUA327542 IUE327542 JDW327542 JEA327542 JNS327542 JNW327542 JXO327542 JXS327542 KHK327542 KHO327542 KRG327542 KRK327542 LBC327542 LBG327542 LKY327542 LLC327542 LUU327542 LUY327542 MEQ327542 MEU327542 MOM327542 MOQ327542 MYI327542 MYM327542 NIE327542 NII327542 NSA327542 NSE327542 OBW327542 OCA327542 OLS327542 OLW327542 OVO327542 OVS327542 PFK327542 PFO327542 PPG327542 PPK327542 PZC327542 PZG327542 QIY327542 QJC327542 QSU327542 QSY327542 RCQ327542 RCU327542 RMM327542 RMQ327542 RWI327542 RWM327542 SGE327542 SGI327542 SQA327542 SQE327542 SZW327542 TAA327542 TJS327542 TJW327542 TTO327542 TTS327542 UDK327542 UDO327542 UNG327542 UNK327542 UXC327542 UXG327542 VGY327542 VHC327542 VQU327542 VQY327542 WAQ327542 WAU327542 WKM327542 WKQ327542 WUI327542 WUM327542 HC327588 HF327588 QY327588 RB327588 AAU327588 AAX327588 AKQ327588 AKT327588 AUM327588 AUP327588 BEI327588 BEL327588 BOE327588 BOH327588 BYA327588 BYD327588 CHW327588 CHZ327588 CRS327588 CRV327588 DBO327588 DBR327588 DLK327588 DLN327588 DVG327588 DVJ327588 EFC327588 EFF327588 EOY327588 EPB327588 EYU327588 EYX327588 FIQ327588 FIT327588 FSM327588 FSP327588 GCI327588 GCL327588 GME327588 GMH327588 GWA327588 GWD327588 HFW327588 HFZ327588 HPS327588 HPV327588 HZO327588 HZR327588 IJK327588 IJN327588 ITG327588 ITJ327588 JDC327588 JDF327588 JMY327588 JNB327588 JWU327588 JWX327588 KGQ327588 KGT327588 KQM327588 KQP327588 LAI327588 LAL327588 LKE327588 LKH327588 LUA327588 LUD327588 MDW327588 MDZ327588 MNS327588 MNV327588 MXO327588 MXR327588 NHK327588 NHN327588 NRG327588 NRJ327588 OBC327588 OBF327588 OKY327588 OLB327588 OUU327588 OUX327588 PEQ327588 PET327588 POM327588 POP327588 PYI327588 PYL327588 QIE327588 QIH327588 QSA327588 QSD327588 RBW327588 RBZ327588 RLS327588 RLV327588 RVO327588 RVR327588 SFK327588 SFN327588 SPG327588 SPJ327588 SZC327588 SZF327588 TIY327588 TJB327588 TSU327588 TSX327588 UCQ327588 UCT327588 UMM327588 UMP327588 UWI327588 UWL327588 VGE327588 VGH327588 VQA327588 VQD327588 VZW327588 VZZ327588 WJS327588 WJV327588 WTO327588 WTR327588 HC327596 HF327596 QY327596 RB327596 AAU327596 AAX327596 AKQ327596 AKT327596 AUM327596 AUP327596 BEI327596 BEL327596 BOE327596 BOH327596 BYA327596 BYD327596 CHW327596 CHZ327596 CRS327596 CRV327596 DBO327596 DBR327596 DLK327596 DLN327596 DVG327596 DVJ327596 EFC327596 EFF327596 EOY327596 EPB327596 EYU327596 EYX327596 FIQ327596 FIT327596 FSM327596 FSP327596 GCI327596 GCL327596 GME327596 GMH327596 GWA327596 GWD327596 HFW327596 HFZ327596 HPS327596 HPV327596 HZO327596 HZR327596 IJK327596 IJN327596 ITG327596 ITJ327596 JDC327596 JDF327596 JMY327596 JNB327596 JWU327596 JWX327596 KGQ327596 KGT327596 KQM327596 KQP327596 LAI327596 LAL327596 LKE327596 LKH327596 LUA327596 LUD327596 MDW327596 MDZ327596 MNS327596 MNV327596 MXO327596 MXR327596 NHK327596 NHN327596 NRG327596 NRJ327596 OBC327596 OBF327596 OKY327596 OLB327596 OUU327596 OUX327596 PEQ327596 PET327596 POM327596 POP327596 PYI327596 PYL327596 QIE327596 QIH327596 QSA327596 QSD327596 RBW327596 RBZ327596 RLS327596 RLV327596 RVO327596 RVR327596 SFK327596 SFN327596 SPG327596 SPJ327596 SZC327596 SZF327596 TIY327596 TJB327596 TSU327596 TSX327596 UCQ327596 UCT327596 UMM327596 UMP327596 UWI327596 UWL327596 VGE327596 VGH327596 VQA327596 VQD327596 VZW327596 VZZ327596 WJS327596 WJV327596 WTO327596 WTR327596 AD392911 AH392911 J392957 M392957 J392965 M392965 HW393078 IA393078 RS393078 RW393078 ABO393078 ABS393078 ALK393078 ALO393078 AVG393078 AVK393078 BFC393078 BFG393078 BOY393078 BPC393078 BYU393078 BYY393078 CIQ393078 CIU393078 CSM393078 CSQ393078 DCI393078 DCM393078 DME393078 DMI393078 DWA393078 DWE393078 EFW393078 EGA393078 EPS393078 EPW393078 EZO393078 EZS393078 FJK393078 FJO393078 FTG393078 FTK393078 GDC393078 GDG393078 GMY393078 GNC393078 GWU393078 GWY393078 HGQ393078 HGU393078 HQM393078 HQQ393078 IAI393078 IAM393078 IKE393078 IKI393078 IUA393078 IUE393078 JDW393078 JEA393078 JNS393078 JNW393078 JXO393078 JXS393078 KHK393078 KHO393078 KRG393078 KRK393078 LBC393078 LBG393078 LKY393078 LLC393078 LUU393078 LUY393078 MEQ393078 MEU393078 MOM393078 MOQ393078 MYI393078 MYM393078 NIE393078 NII393078 NSA393078 NSE393078 OBW393078 OCA393078 OLS393078 OLW393078 OVO393078 OVS393078 PFK393078 PFO393078 PPG393078 PPK393078 PZC393078 PZG393078 QIY393078 QJC393078 QSU393078 QSY393078 RCQ393078 RCU393078 RMM393078 RMQ393078 RWI393078 RWM393078 SGE393078 SGI393078 SQA393078 SQE393078 SZW393078 TAA393078 TJS393078 TJW393078 TTO393078 TTS393078 UDK393078 UDO393078 UNG393078 UNK393078 UXC393078 UXG393078 VGY393078 VHC393078 VQU393078 VQY393078 WAQ393078 WAU393078 WKM393078 WKQ393078 WUI393078 WUM393078 HC393124 HF393124 QY393124 RB393124 AAU393124 AAX393124 AKQ393124 AKT393124 AUM393124 AUP393124 BEI393124 BEL393124 BOE393124 BOH393124 BYA393124 BYD393124 CHW393124 CHZ393124 CRS393124 CRV393124 DBO393124 DBR393124 DLK393124 DLN393124 DVG393124 DVJ393124 EFC393124 EFF393124 EOY393124 EPB393124 EYU393124 EYX393124 FIQ393124 FIT393124 FSM393124 FSP393124 GCI393124 GCL393124 GME393124 GMH393124 GWA393124 GWD393124 HFW393124 HFZ393124 HPS393124 HPV393124 HZO393124 HZR393124 IJK393124 IJN393124 ITG393124 ITJ393124 JDC393124 JDF393124 JMY393124 JNB393124 JWU393124 JWX393124 KGQ393124 KGT393124 KQM393124 KQP393124 LAI393124 LAL393124 LKE393124 LKH393124 LUA393124 LUD393124 MDW393124 MDZ393124 MNS393124 MNV393124 MXO393124 MXR393124 NHK393124 NHN393124 NRG393124 NRJ393124 OBC393124 OBF393124 OKY393124 OLB393124 OUU393124 OUX393124 PEQ393124 PET393124 POM393124 POP393124 PYI393124 PYL393124 QIE393124 QIH393124 QSA393124 QSD393124 RBW393124 RBZ393124 RLS393124 RLV393124 RVO393124 RVR393124 SFK393124 SFN393124 SPG393124 SPJ393124 SZC393124 SZF393124 TIY393124 TJB393124 TSU393124 TSX393124 UCQ393124 UCT393124 UMM393124 UMP393124 UWI393124 UWL393124 VGE393124 VGH393124 VQA393124 VQD393124 VZW393124 VZZ393124 WJS393124 WJV393124 WTO393124 WTR393124 HC393132 HF393132 QY393132 RB393132 AAU393132 AAX393132 AKQ393132 AKT393132 AUM393132 AUP393132 BEI393132 BEL393132 BOE393132 BOH393132 BYA393132 BYD393132 CHW393132 CHZ393132 CRS393132 CRV393132 DBO393132 DBR393132 DLK393132 DLN393132 DVG393132 DVJ393132 EFC393132 EFF393132 EOY393132 EPB393132 EYU393132 EYX393132 FIQ393132 FIT393132 FSM393132 FSP393132 GCI393132 GCL393132 GME393132 GMH393132 GWA393132 GWD393132 HFW393132 HFZ393132 HPS393132 HPV393132 HZO393132 HZR393132 IJK393132 IJN393132 ITG393132 ITJ393132 JDC393132 JDF393132 JMY393132 JNB393132 JWU393132 JWX393132 KGQ393132 KGT393132 KQM393132 KQP393132 LAI393132 LAL393132 LKE393132 LKH393132 LUA393132 LUD393132 MDW393132 MDZ393132 MNS393132 MNV393132 MXO393132 MXR393132 NHK393132 NHN393132 NRG393132 NRJ393132 OBC393132 OBF393132 OKY393132 OLB393132 OUU393132 OUX393132 PEQ393132 PET393132 POM393132 POP393132 PYI393132 PYL393132 QIE393132 QIH393132 QSA393132 QSD393132 RBW393132 RBZ393132 RLS393132 RLV393132 RVO393132 RVR393132 SFK393132 SFN393132 SPG393132 SPJ393132 SZC393132 SZF393132 TIY393132 TJB393132 TSU393132 TSX393132 UCQ393132 UCT393132 UMM393132 UMP393132 UWI393132 UWL393132 VGE393132 VGH393132 VQA393132 VQD393132 VZW393132 VZZ393132 WJS393132 WJV393132 WTO393132 WTR393132 AD458447 AH458447 J458493 M458493 J458501 M458501 HW458614 IA458614 RS458614 RW458614 ABO458614 ABS458614 ALK458614 ALO458614 AVG458614 AVK458614 BFC458614 BFG458614 BOY458614 BPC458614 BYU458614 BYY458614 CIQ458614 CIU458614 CSM458614 CSQ458614 DCI458614 DCM458614 DME458614 DMI458614 DWA458614 DWE458614 EFW458614 EGA458614 EPS458614 EPW458614 EZO458614 EZS458614 FJK458614 FJO458614 FTG458614 FTK458614 GDC458614 GDG458614 GMY458614 GNC458614 GWU458614 GWY458614 HGQ458614 HGU458614 HQM458614 HQQ458614 IAI458614 IAM458614 IKE458614 IKI458614 IUA458614 IUE458614 JDW458614 JEA458614 JNS458614 JNW458614 JXO458614 JXS458614 KHK458614 KHO458614 KRG458614 KRK458614 LBC458614 LBG458614 LKY458614 LLC458614 LUU458614 LUY458614 MEQ458614 MEU458614 MOM458614 MOQ458614 MYI458614 MYM458614 NIE458614 NII458614 NSA458614 NSE458614 OBW458614 OCA458614 OLS458614 OLW458614 OVO458614 OVS458614 PFK458614 PFO458614 PPG458614 PPK458614 PZC458614 PZG458614 QIY458614 QJC458614 QSU458614 QSY458614 RCQ458614 RCU458614 RMM458614 RMQ458614 RWI458614 RWM458614 SGE458614 SGI458614 SQA458614 SQE458614 SZW458614 TAA458614 TJS458614 TJW458614 TTO458614 TTS458614 UDK458614 UDO458614 UNG458614 UNK458614 UXC458614 UXG458614 VGY458614 VHC458614 VQU458614 VQY458614 WAQ458614 WAU458614 WKM458614 WKQ458614 WUI458614 WUM458614 HC458660 HF458660 QY458660 RB458660 AAU458660 AAX458660 AKQ458660 AKT458660 AUM458660 AUP458660 BEI458660 BEL458660 BOE458660 BOH458660 BYA458660 BYD458660 CHW458660 CHZ458660 CRS458660 CRV458660 DBO458660 DBR458660 DLK458660 DLN458660 DVG458660 DVJ458660 EFC458660 EFF458660 EOY458660 EPB458660 EYU458660 EYX458660 FIQ458660 FIT458660 FSM458660 FSP458660 GCI458660 GCL458660 GME458660 GMH458660 GWA458660 GWD458660 HFW458660 HFZ458660 HPS458660 HPV458660 HZO458660 HZR458660 IJK458660 IJN458660 ITG458660 ITJ458660 JDC458660 JDF458660 JMY458660 JNB458660 JWU458660 JWX458660 KGQ458660 KGT458660 KQM458660 KQP458660 LAI458660 LAL458660 LKE458660 LKH458660 LUA458660 LUD458660 MDW458660 MDZ458660 MNS458660 MNV458660 MXO458660 MXR458660 NHK458660 NHN458660 NRG458660 NRJ458660 OBC458660 OBF458660 OKY458660 OLB458660 OUU458660 OUX458660 PEQ458660 PET458660 POM458660 POP458660 PYI458660 PYL458660 QIE458660 QIH458660 QSA458660 QSD458660 RBW458660 RBZ458660 RLS458660 RLV458660 RVO458660 RVR458660 SFK458660 SFN458660 SPG458660 SPJ458660 SZC458660 SZF458660 TIY458660 TJB458660 TSU458660 TSX458660 UCQ458660 UCT458660 UMM458660 UMP458660 UWI458660 UWL458660 VGE458660 VGH458660 VQA458660 VQD458660 VZW458660 VZZ458660 WJS458660 WJV458660 WTO458660 WTR458660 HC458668 HF458668 QY458668 RB458668 AAU458668 AAX458668 AKQ458668 AKT458668 AUM458668 AUP458668 BEI458668 BEL458668 BOE458668 BOH458668 BYA458668 BYD458668 CHW458668 CHZ458668 CRS458668 CRV458668 DBO458668 DBR458668 DLK458668 DLN458668 DVG458668 DVJ458668 EFC458668 EFF458668 EOY458668 EPB458668 EYU458668 EYX458668 FIQ458668 FIT458668 FSM458668 FSP458668 GCI458668 GCL458668 GME458668 GMH458668 GWA458668 GWD458668 HFW458668 HFZ458668 HPS458668 HPV458668 HZO458668 HZR458668 IJK458668 IJN458668 ITG458668 ITJ458668 JDC458668 JDF458668 JMY458668 JNB458668 JWU458668 JWX458668 KGQ458668 KGT458668 KQM458668 KQP458668 LAI458668 LAL458668 LKE458668 LKH458668 LUA458668 LUD458668 MDW458668 MDZ458668 MNS458668 MNV458668 MXO458668 MXR458668 NHK458668 NHN458668 NRG458668 NRJ458668 OBC458668 OBF458668 OKY458668 OLB458668 OUU458668 OUX458668 PEQ458668 PET458668 POM458668 POP458668 PYI458668 PYL458668 QIE458668 QIH458668 QSA458668 QSD458668 RBW458668 RBZ458668 RLS458668 RLV458668 RVO458668 RVR458668 SFK458668 SFN458668 SPG458668 SPJ458668 SZC458668 SZF458668 TIY458668 TJB458668 TSU458668 TSX458668 UCQ458668 UCT458668 UMM458668 UMP458668 UWI458668 UWL458668 VGE458668 VGH458668 VQA458668 VQD458668 VZW458668 VZZ458668 WJS458668 WJV458668 WTO458668 WTR458668 AD523983 AH523983 J524029 M524029 J524037 M524037 HW524150 IA524150 RS524150 RW524150 ABO524150 ABS524150 ALK524150 ALO524150 AVG524150 AVK524150 BFC524150 BFG524150 BOY524150 BPC524150 BYU524150 BYY524150 CIQ524150 CIU524150 CSM524150 CSQ524150 DCI524150 DCM524150 DME524150 DMI524150 DWA524150 DWE524150 EFW524150 EGA524150 EPS524150 EPW524150 EZO524150 EZS524150 FJK524150 FJO524150 FTG524150 FTK524150 GDC524150 GDG524150 GMY524150 GNC524150 GWU524150 GWY524150 HGQ524150 HGU524150 HQM524150 HQQ524150 IAI524150 IAM524150 IKE524150 IKI524150 IUA524150 IUE524150 JDW524150 JEA524150 JNS524150 JNW524150 JXO524150 JXS524150 KHK524150 KHO524150 KRG524150 KRK524150 LBC524150 LBG524150 LKY524150 LLC524150 LUU524150 LUY524150 MEQ524150 MEU524150 MOM524150 MOQ524150 MYI524150 MYM524150 NIE524150 NII524150 NSA524150 NSE524150 OBW524150 OCA524150 OLS524150 OLW524150 OVO524150 OVS524150 PFK524150 PFO524150 PPG524150 PPK524150 PZC524150 PZG524150 QIY524150 QJC524150 QSU524150 QSY524150 RCQ524150 RCU524150 RMM524150 RMQ524150 RWI524150 RWM524150 SGE524150 SGI524150 SQA524150 SQE524150 SZW524150 TAA524150 TJS524150 TJW524150 TTO524150 TTS524150 UDK524150 UDO524150 UNG524150 UNK524150 UXC524150 UXG524150 VGY524150 VHC524150 VQU524150 VQY524150 WAQ524150 WAU524150 WKM524150 WKQ524150 WUI524150 WUM524150 HC524196 HF524196 QY524196 RB524196 AAU524196 AAX524196 AKQ524196 AKT524196 AUM524196 AUP524196 BEI524196 BEL524196 BOE524196 BOH524196 BYA524196 BYD524196 CHW524196 CHZ524196 CRS524196 CRV524196 DBO524196 DBR524196 DLK524196 DLN524196 DVG524196 DVJ524196 EFC524196 EFF524196 EOY524196 EPB524196 EYU524196 EYX524196 FIQ524196 FIT524196 FSM524196 FSP524196 GCI524196 GCL524196 GME524196 GMH524196 GWA524196 GWD524196 HFW524196 HFZ524196 HPS524196 HPV524196 HZO524196 HZR524196 IJK524196 IJN524196 ITG524196 ITJ524196 JDC524196 JDF524196 JMY524196 JNB524196 JWU524196 JWX524196 KGQ524196 KGT524196 KQM524196 KQP524196 LAI524196 LAL524196 LKE524196 LKH524196 LUA524196 LUD524196 MDW524196 MDZ524196 MNS524196 MNV524196 MXO524196 MXR524196 NHK524196 NHN524196 NRG524196 NRJ524196 OBC524196 OBF524196 OKY524196 OLB524196 OUU524196 OUX524196 PEQ524196 PET524196 POM524196 POP524196 PYI524196 PYL524196 QIE524196 QIH524196 QSA524196 QSD524196 RBW524196 RBZ524196 RLS524196 RLV524196 RVO524196 RVR524196 SFK524196 SFN524196 SPG524196 SPJ524196 SZC524196 SZF524196 TIY524196 TJB524196 TSU524196 TSX524196 UCQ524196 UCT524196 UMM524196 UMP524196 UWI524196 UWL524196 VGE524196 VGH524196 VQA524196 VQD524196 VZW524196 VZZ524196 WJS524196 WJV524196 WTO524196 WTR524196 HC524204 HF524204 QY524204 RB524204 AAU524204 AAX524204 AKQ524204 AKT524204 AUM524204 AUP524204 BEI524204 BEL524204 BOE524204 BOH524204 BYA524204 BYD524204 CHW524204 CHZ524204 CRS524204 CRV524204 DBO524204 DBR524204 DLK524204 DLN524204 DVG524204 DVJ524204 EFC524204 EFF524204 EOY524204 EPB524204 EYU524204 EYX524204 FIQ524204 FIT524204 FSM524204 FSP524204 GCI524204 GCL524204 GME524204 GMH524204 GWA524204 GWD524204 HFW524204 HFZ524204 HPS524204 HPV524204 HZO524204 HZR524204 IJK524204 IJN524204 ITG524204 ITJ524204 JDC524204 JDF524204 JMY524204 JNB524204 JWU524204 JWX524204 KGQ524204 KGT524204 KQM524204 KQP524204 LAI524204 LAL524204 LKE524204 LKH524204 LUA524204 LUD524204 MDW524204 MDZ524204 MNS524204 MNV524204 MXO524204 MXR524204 NHK524204 NHN524204 NRG524204 NRJ524204 OBC524204 OBF524204 OKY524204 OLB524204 OUU524204 OUX524204 PEQ524204 PET524204 POM524204 POP524204 PYI524204 PYL524204 QIE524204 QIH524204 QSA524204 QSD524204 RBW524204 RBZ524204 RLS524204 RLV524204 RVO524204 RVR524204 SFK524204 SFN524204 SPG524204 SPJ524204 SZC524204 SZF524204 TIY524204 TJB524204 TSU524204 TSX524204 UCQ524204 UCT524204 UMM524204 UMP524204 UWI524204 UWL524204 VGE524204 VGH524204 VQA524204 VQD524204 VZW524204 VZZ524204 WJS524204 WJV524204 WTO524204 WTR524204 AD589519 AH589519 J589565 M589565 J589573 M589573 HW589686 IA589686 RS589686 RW589686 ABO589686 ABS589686 ALK589686 ALO589686 AVG589686 AVK589686 BFC589686 BFG589686 BOY589686 BPC589686 BYU589686 BYY589686 CIQ589686 CIU589686 CSM589686 CSQ589686 DCI589686 DCM589686 DME589686 DMI589686 DWA589686 DWE589686 EFW589686 EGA589686 EPS589686 EPW589686 EZO589686 EZS589686 FJK589686 FJO589686 FTG589686 FTK589686 GDC589686 GDG589686 GMY589686 GNC589686 GWU589686 GWY589686 HGQ589686 HGU589686 HQM589686 HQQ589686 IAI589686 IAM589686 IKE589686 IKI589686 IUA589686 IUE589686 JDW589686 JEA589686 JNS589686 JNW589686 JXO589686 JXS589686 KHK589686 KHO589686 KRG589686 KRK589686 LBC589686 LBG589686 LKY589686 LLC589686 LUU589686 LUY589686 MEQ589686 MEU589686 MOM589686 MOQ589686 MYI589686 MYM589686 NIE589686 NII589686 NSA589686 NSE589686 OBW589686 OCA589686 OLS589686 OLW589686 OVO589686 OVS589686 PFK589686 PFO589686 PPG589686 PPK589686 PZC589686 PZG589686 QIY589686 QJC589686 QSU589686 QSY589686 RCQ589686 RCU589686 RMM589686 RMQ589686 RWI589686 RWM589686 SGE589686 SGI589686 SQA589686 SQE589686 SZW589686 TAA589686 TJS589686 TJW589686 TTO589686 TTS589686 UDK589686 UDO589686 UNG589686 UNK589686 UXC589686 UXG589686 VGY589686 VHC589686 VQU589686 VQY589686 WAQ589686 WAU589686 WKM589686 WKQ589686 WUI589686 WUM589686 HC589732 HF589732 QY589732 RB589732 AAU589732 AAX589732 AKQ589732 AKT589732 AUM589732 AUP589732 BEI589732 BEL589732 BOE589732 BOH589732 BYA589732 BYD589732 CHW589732 CHZ589732 CRS589732 CRV589732 DBO589732 DBR589732 DLK589732 DLN589732 DVG589732 DVJ589732 EFC589732 EFF589732 EOY589732 EPB589732 EYU589732 EYX589732 FIQ589732 FIT589732 FSM589732 FSP589732 GCI589732 GCL589732 GME589732 GMH589732 GWA589732 GWD589732 HFW589732 HFZ589732 HPS589732 HPV589732 HZO589732 HZR589732 IJK589732 IJN589732 ITG589732 ITJ589732 JDC589732 JDF589732 JMY589732 JNB589732 JWU589732 JWX589732 KGQ589732 KGT589732 KQM589732 KQP589732 LAI589732 LAL589732 LKE589732 LKH589732 LUA589732 LUD589732 MDW589732 MDZ589732 MNS589732 MNV589732 MXO589732 MXR589732 NHK589732 NHN589732 NRG589732 NRJ589732 OBC589732 OBF589732 OKY589732 OLB589732 OUU589732 OUX589732 PEQ589732 PET589732 POM589732 POP589732 PYI589732 PYL589732 QIE589732 QIH589732 QSA589732 QSD589732 RBW589732 RBZ589732 RLS589732 RLV589732 RVO589732 RVR589732 SFK589732 SFN589732 SPG589732 SPJ589732 SZC589732 SZF589732 TIY589732 TJB589732 TSU589732 TSX589732 UCQ589732 UCT589732 UMM589732 UMP589732 UWI589732 UWL589732 VGE589732 VGH589732 VQA589732 VQD589732 VZW589732 VZZ589732 WJS589732 WJV589732 WTO589732 WTR589732 HC589740 HF589740 QY589740 RB589740 AAU589740 AAX589740 AKQ589740 AKT589740 AUM589740 AUP589740 BEI589740 BEL589740 BOE589740 BOH589740 BYA589740 BYD589740 CHW589740 CHZ589740 CRS589740 CRV589740 DBO589740 DBR589740 DLK589740 DLN589740 DVG589740 DVJ589740 EFC589740 EFF589740 EOY589740 EPB589740 EYU589740 EYX589740 FIQ589740 FIT589740 FSM589740 FSP589740 GCI589740 GCL589740 GME589740 GMH589740 GWA589740 GWD589740 HFW589740 HFZ589740 HPS589740 HPV589740 HZO589740 HZR589740 IJK589740 IJN589740 ITG589740 ITJ589740 JDC589740 JDF589740 JMY589740 JNB589740 JWU589740 JWX589740 KGQ589740 KGT589740 KQM589740 KQP589740 LAI589740 LAL589740 LKE589740 LKH589740 LUA589740 LUD589740 MDW589740 MDZ589740 MNS589740 MNV589740 MXO589740 MXR589740 NHK589740 NHN589740 NRG589740 NRJ589740 OBC589740 OBF589740 OKY589740 OLB589740 OUU589740 OUX589740 PEQ589740 PET589740 POM589740 POP589740 PYI589740 PYL589740 QIE589740 QIH589740 QSA589740 QSD589740 RBW589740 RBZ589740 RLS589740 RLV589740 RVO589740 RVR589740 SFK589740 SFN589740 SPG589740 SPJ589740 SZC589740 SZF589740 TIY589740 TJB589740 TSU589740 TSX589740 UCQ589740 UCT589740 UMM589740 UMP589740 UWI589740 UWL589740 VGE589740 VGH589740 VQA589740 VQD589740 VZW589740 VZZ589740 WJS589740 WJV589740 WTO589740 WTR589740 AD655055 AH655055 J655101 M655101 J655109 M655109 HW655222 IA655222 RS655222 RW655222 ABO655222 ABS655222 ALK655222 ALO655222 AVG655222 AVK655222 BFC655222 BFG655222 BOY655222 BPC655222 BYU655222 BYY655222 CIQ655222 CIU655222 CSM655222 CSQ655222 DCI655222 DCM655222 DME655222 DMI655222 DWA655222 DWE655222 EFW655222 EGA655222 EPS655222 EPW655222 EZO655222 EZS655222 FJK655222 FJO655222 FTG655222 FTK655222 GDC655222 GDG655222 GMY655222 GNC655222 GWU655222 GWY655222 HGQ655222 HGU655222 HQM655222 HQQ655222 IAI655222 IAM655222 IKE655222 IKI655222 IUA655222 IUE655222 JDW655222 JEA655222 JNS655222 JNW655222 JXO655222 JXS655222 KHK655222 KHO655222 KRG655222 KRK655222 LBC655222 LBG655222 LKY655222 LLC655222 LUU655222 LUY655222 MEQ655222 MEU655222 MOM655222 MOQ655222 MYI655222 MYM655222 NIE655222 NII655222 NSA655222 NSE655222 OBW655222 OCA655222 OLS655222 OLW655222 OVO655222 OVS655222 PFK655222 PFO655222 PPG655222 PPK655222 PZC655222 PZG655222 QIY655222 QJC655222 QSU655222 QSY655222 RCQ655222 RCU655222 RMM655222 RMQ655222 RWI655222 RWM655222 SGE655222 SGI655222 SQA655222 SQE655222 SZW655222 TAA655222 TJS655222 TJW655222 TTO655222 TTS655222 UDK655222 UDO655222 UNG655222 UNK655222 UXC655222 UXG655222 VGY655222 VHC655222 VQU655222 VQY655222 WAQ655222 WAU655222 WKM655222 WKQ655222 WUI655222 WUM655222 HC655268 HF655268 QY655268 RB655268 AAU655268 AAX655268 AKQ655268 AKT655268 AUM655268 AUP655268 BEI655268 BEL655268 BOE655268 BOH655268 BYA655268 BYD655268 CHW655268 CHZ655268 CRS655268 CRV655268 DBO655268 DBR655268 DLK655268 DLN655268 DVG655268 DVJ655268 EFC655268 EFF655268 EOY655268 EPB655268 EYU655268 EYX655268 FIQ655268 FIT655268 FSM655268 FSP655268 GCI655268 GCL655268 GME655268 GMH655268 GWA655268 GWD655268 HFW655268 HFZ655268 HPS655268 HPV655268 HZO655268 HZR655268 IJK655268 IJN655268 ITG655268 ITJ655268 JDC655268 JDF655268 JMY655268 JNB655268 JWU655268 JWX655268 KGQ655268 KGT655268 KQM655268 KQP655268 LAI655268 LAL655268 LKE655268 LKH655268 LUA655268 LUD655268 MDW655268 MDZ655268 MNS655268 MNV655268 MXO655268 MXR655268 NHK655268 NHN655268 NRG655268 NRJ655268 OBC655268 OBF655268 OKY655268 OLB655268 OUU655268 OUX655268 PEQ655268 PET655268 POM655268 POP655268 PYI655268 PYL655268 QIE655268 QIH655268 QSA655268 QSD655268 RBW655268 RBZ655268 RLS655268 RLV655268 RVO655268 RVR655268 SFK655268 SFN655268 SPG655268 SPJ655268 SZC655268 SZF655268 TIY655268 TJB655268 TSU655268 TSX655268 UCQ655268 UCT655268 UMM655268 UMP655268 UWI655268 UWL655268 VGE655268 VGH655268 VQA655268 VQD655268 VZW655268 VZZ655268 WJS655268 WJV655268 WTO655268 WTR655268 HC655276 HF655276 QY655276 RB655276 AAU655276 AAX655276 AKQ655276 AKT655276 AUM655276 AUP655276 BEI655276 BEL655276 BOE655276 BOH655276 BYA655276 BYD655276 CHW655276 CHZ655276 CRS655276 CRV655276 DBO655276 DBR655276 DLK655276 DLN655276 DVG655276 DVJ655276 EFC655276 EFF655276 EOY655276 EPB655276 EYU655276 EYX655276 FIQ655276 FIT655276 FSM655276 FSP655276 GCI655276 GCL655276 GME655276 GMH655276 GWA655276 GWD655276 HFW655276 HFZ655276 HPS655276 HPV655276 HZO655276 HZR655276 IJK655276 IJN655276 ITG655276 ITJ655276 JDC655276 JDF655276 JMY655276 JNB655276 JWU655276 JWX655276 KGQ655276 KGT655276 KQM655276 KQP655276 LAI655276 LAL655276 LKE655276 LKH655276 LUA655276 LUD655276 MDW655276 MDZ655276 MNS655276 MNV655276 MXO655276 MXR655276 NHK655276 NHN655276 NRG655276 NRJ655276 OBC655276 OBF655276 OKY655276 OLB655276 OUU655276 OUX655276 PEQ655276 PET655276 POM655276 POP655276 PYI655276 PYL655276 QIE655276 QIH655276 QSA655276 QSD655276 RBW655276 RBZ655276 RLS655276 RLV655276 RVO655276 RVR655276 SFK655276 SFN655276 SPG655276 SPJ655276 SZC655276 SZF655276 TIY655276 TJB655276 TSU655276 TSX655276 UCQ655276 UCT655276 UMM655276 UMP655276 UWI655276 UWL655276 VGE655276 VGH655276 VQA655276 VQD655276 VZW655276 VZZ655276 WJS655276 WJV655276 WTO655276 WTR655276 AD720591 AH720591 J720637 M720637 J720645 M720645 HW720758 IA720758 RS720758 RW720758 ABO720758 ABS720758 ALK720758 ALO720758 AVG720758 AVK720758 BFC720758 BFG720758 BOY720758 BPC720758 BYU720758 BYY720758 CIQ720758 CIU720758 CSM720758 CSQ720758 DCI720758 DCM720758 DME720758 DMI720758 DWA720758 DWE720758 EFW720758 EGA720758 EPS720758 EPW720758 EZO720758 EZS720758 FJK720758 FJO720758 FTG720758 FTK720758 GDC720758 GDG720758 GMY720758 GNC720758 GWU720758 GWY720758 HGQ720758 HGU720758 HQM720758 HQQ720758 IAI720758 IAM720758 IKE720758 IKI720758 IUA720758 IUE720758 JDW720758 JEA720758 JNS720758 JNW720758 JXO720758 JXS720758 KHK720758 KHO720758 KRG720758 KRK720758 LBC720758 LBG720758 LKY720758 LLC720758 LUU720758 LUY720758 MEQ720758 MEU720758 MOM720758 MOQ720758 MYI720758 MYM720758 NIE720758 NII720758 NSA720758 NSE720758 OBW720758 OCA720758 OLS720758 OLW720758 OVO720758 OVS720758 PFK720758 PFO720758 PPG720758 PPK720758 PZC720758 PZG720758 QIY720758 QJC720758 QSU720758 QSY720758 RCQ720758 RCU720758 RMM720758 RMQ720758 RWI720758 RWM720758 SGE720758 SGI720758 SQA720758 SQE720758 SZW720758 TAA720758 TJS720758 TJW720758 TTO720758 TTS720758 UDK720758 UDO720758 UNG720758 UNK720758 UXC720758 UXG720758 VGY720758 VHC720758 VQU720758 VQY720758 WAQ720758 WAU720758 WKM720758 WKQ720758 WUI720758 WUM720758 HC720804 HF720804 QY720804 RB720804 AAU720804 AAX720804 AKQ720804 AKT720804 AUM720804 AUP720804 BEI720804 BEL720804 BOE720804 BOH720804 BYA720804 BYD720804 CHW720804 CHZ720804 CRS720804 CRV720804 DBO720804 DBR720804 DLK720804 DLN720804 DVG720804 DVJ720804 EFC720804 EFF720804 EOY720804 EPB720804 EYU720804 EYX720804 FIQ720804 FIT720804 FSM720804 FSP720804 GCI720804 GCL720804 GME720804 GMH720804 GWA720804 GWD720804 HFW720804 HFZ720804 HPS720804 HPV720804 HZO720804 HZR720804 IJK720804 IJN720804 ITG720804 ITJ720804 JDC720804 JDF720804 JMY720804 JNB720804 JWU720804 JWX720804 KGQ720804 KGT720804 KQM720804 KQP720804 LAI720804 LAL720804 LKE720804 LKH720804 LUA720804 LUD720804 MDW720804 MDZ720804 MNS720804 MNV720804 MXO720804 MXR720804 NHK720804 NHN720804 NRG720804 NRJ720804 OBC720804 OBF720804 OKY720804 OLB720804 OUU720804 OUX720804 PEQ720804 PET720804 POM720804 POP720804 PYI720804 PYL720804 QIE720804 QIH720804 QSA720804 QSD720804 RBW720804 RBZ720804 RLS720804 RLV720804 RVO720804 RVR720804 SFK720804 SFN720804 SPG720804 SPJ720804 SZC720804 SZF720804 TIY720804 TJB720804 TSU720804 TSX720804 UCQ720804 UCT720804 UMM720804 UMP720804 UWI720804 UWL720804 VGE720804 VGH720804 VQA720804 VQD720804 VZW720804 VZZ720804 WJS720804 WJV720804 WTO720804 WTR720804 HC720812 HF720812 QY720812 RB720812 AAU720812 AAX720812 AKQ720812 AKT720812 AUM720812 AUP720812 BEI720812 BEL720812 BOE720812 BOH720812 BYA720812 BYD720812 CHW720812 CHZ720812 CRS720812 CRV720812 DBO720812 DBR720812 DLK720812 DLN720812 DVG720812 DVJ720812 EFC720812 EFF720812 EOY720812 EPB720812 EYU720812 EYX720812 FIQ720812 FIT720812 FSM720812 FSP720812 GCI720812 GCL720812 GME720812 GMH720812 GWA720812 GWD720812 HFW720812 HFZ720812 HPS720812 HPV720812 HZO720812 HZR720812 IJK720812 IJN720812 ITG720812 ITJ720812 JDC720812 JDF720812 JMY720812 JNB720812 JWU720812 JWX720812 KGQ720812 KGT720812 KQM720812 KQP720812 LAI720812 LAL720812 LKE720812 LKH720812 LUA720812 LUD720812 MDW720812 MDZ720812 MNS720812 MNV720812 MXO720812 MXR720812 NHK720812 NHN720812 NRG720812 NRJ720812 OBC720812 OBF720812 OKY720812 OLB720812 OUU720812 OUX720812 PEQ720812 PET720812 POM720812 POP720812 PYI720812 PYL720812 QIE720812 QIH720812 QSA720812 QSD720812 RBW720812 RBZ720812 RLS720812 RLV720812 RVO720812 RVR720812 SFK720812 SFN720812 SPG720812 SPJ720812 SZC720812 SZF720812 TIY720812 TJB720812 TSU720812 TSX720812 UCQ720812 UCT720812 UMM720812 UMP720812 UWI720812 UWL720812 VGE720812 VGH720812 VQA720812 VQD720812 VZW720812 VZZ720812 WJS720812 WJV720812 WTO720812 WTR720812 AD786127 AH786127 J786173 M786173 J786181 M786181 HW786294 IA786294 RS786294 RW786294 ABO786294 ABS786294 ALK786294 ALO786294 AVG786294 AVK786294 BFC786294 BFG786294 BOY786294 BPC786294 BYU786294 BYY786294 CIQ786294 CIU786294 CSM786294 CSQ786294 DCI786294 DCM786294 DME786294 DMI786294 DWA786294 DWE786294 EFW786294 EGA786294 EPS786294 EPW786294 EZO786294 EZS786294 FJK786294 FJO786294 FTG786294 FTK786294 GDC786294 GDG786294 GMY786294 GNC786294 GWU786294 GWY786294 HGQ786294 HGU786294 HQM786294 HQQ786294 IAI786294 IAM786294 IKE786294 IKI786294 IUA786294 IUE786294 JDW786294 JEA786294 JNS786294 JNW786294 JXO786294 JXS786294 KHK786294 KHO786294 KRG786294 KRK786294 LBC786294 LBG786294 LKY786294 LLC786294 LUU786294 LUY786294 MEQ786294 MEU786294 MOM786294 MOQ786294 MYI786294 MYM786294 NIE786294 NII786294 NSA786294 NSE786294 OBW786294 OCA786294 OLS786294 OLW786294 OVO786294 OVS786294 PFK786294 PFO786294 PPG786294 PPK786294 PZC786294 PZG786294 QIY786294 QJC786294 QSU786294 QSY786294 RCQ786294 RCU786294 RMM786294 RMQ786294 RWI786294 RWM786294 SGE786294 SGI786294 SQA786294 SQE786294 SZW786294 TAA786294 TJS786294 TJW786294 TTO786294 TTS786294 UDK786294 UDO786294 UNG786294 UNK786294 UXC786294 UXG786294 VGY786294 VHC786294 VQU786294 VQY786294 WAQ786294 WAU786294 WKM786294 WKQ786294 WUI786294 WUM786294 HC786340 HF786340 QY786340 RB786340 AAU786340 AAX786340 AKQ786340 AKT786340 AUM786340 AUP786340 BEI786340 BEL786340 BOE786340 BOH786340 BYA786340 BYD786340 CHW786340 CHZ786340 CRS786340 CRV786340 DBO786340 DBR786340 DLK786340 DLN786340 DVG786340 DVJ786340 EFC786340 EFF786340 EOY786340 EPB786340 EYU786340 EYX786340 FIQ786340 FIT786340 FSM786340 FSP786340 GCI786340 GCL786340 GME786340 GMH786340 GWA786340 GWD786340 HFW786340 HFZ786340 HPS786340 HPV786340 HZO786340 HZR786340 IJK786340 IJN786340 ITG786340 ITJ786340 JDC786340 JDF786340 JMY786340 JNB786340 JWU786340 JWX786340 KGQ786340 KGT786340 KQM786340 KQP786340 LAI786340 LAL786340 LKE786340 LKH786340 LUA786340 LUD786340 MDW786340 MDZ786340 MNS786340 MNV786340 MXO786340 MXR786340 NHK786340 NHN786340 NRG786340 NRJ786340 OBC786340 OBF786340 OKY786340 OLB786340 OUU786340 OUX786340 PEQ786340 PET786340 POM786340 POP786340 PYI786340 PYL786340 QIE786340 QIH786340 QSA786340 QSD786340 RBW786340 RBZ786340 RLS786340 RLV786340 RVO786340 RVR786340 SFK786340 SFN786340 SPG786340 SPJ786340 SZC786340 SZF786340 TIY786340 TJB786340 TSU786340 TSX786340 UCQ786340 UCT786340 UMM786340 UMP786340 UWI786340 UWL786340 VGE786340 VGH786340 VQA786340 VQD786340 VZW786340 VZZ786340 WJS786340 WJV786340 WTO786340 WTR786340 HC786348 HF786348 QY786348 RB786348 AAU786348 AAX786348 AKQ786348 AKT786348 AUM786348 AUP786348 BEI786348 BEL786348 BOE786348 BOH786348 BYA786348 BYD786348 CHW786348 CHZ786348 CRS786348 CRV786348 DBO786348 DBR786348 DLK786348 DLN786348 DVG786348 DVJ786348 EFC786348 EFF786348 EOY786348 EPB786348 EYU786348 EYX786348 FIQ786348 FIT786348 FSM786348 FSP786348 GCI786348 GCL786348 GME786348 GMH786348 GWA786348 GWD786348 HFW786348 HFZ786348 HPS786348 HPV786348 HZO786348 HZR786348 IJK786348 IJN786348 ITG786348 ITJ786348 JDC786348 JDF786348 JMY786348 JNB786348 JWU786348 JWX786348 KGQ786348 KGT786348 KQM786348 KQP786348 LAI786348 LAL786348 LKE786348 LKH786348 LUA786348 LUD786348 MDW786348 MDZ786348 MNS786348 MNV786348 MXO786348 MXR786348 NHK786348 NHN786348 NRG786348 NRJ786348 OBC786348 OBF786348 OKY786348 OLB786348 OUU786348 OUX786348 PEQ786348 PET786348 POM786348 POP786348 PYI786348 PYL786348 QIE786348 QIH786348 QSA786348 QSD786348 RBW786348 RBZ786348 RLS786348 RLV786348 RVO786348 RVR786348 SFK786348 SFN786348 SPG786348 SPJ786348 SZC786348 SZF786348 TIY786348 TJB786348 TSU786348 TSX786348 UCQ786348 UCT786348 UMM786348 UMP786348 UWI786348 UWL786348 VGE786348 VGH786348 VQA786348 VQD786348 VZW786348 VZZ786348 WJS786348 WJV786348 WTO786348 WTR786348 AD851663 AH851663 J851709 M851709 J851717 M851717 HW851830 IA851830 RS851830 RW851830 ABO851830 ABS851830 ALK851830 ALO851830 AVG851830 AVK851830 BFC851830 BFG851830 BOY851830 BPC851830 BYU851830 BYY851830 CIQ851830 CIU851830 CSM851830 CSQ851830 DCI851830 DCM851830 DME851830 DMI851830 DWA851830 DWE851830 EFW851830 EGA851830 EPS851830 EPW851830 EZO851830 EZS851830 FJK851830 FJO851830 FTG851830 FTK851830 GDC851830 GDG851830 GMY851830 GNC851830 GWU851830 GWY851830 HGQ851830 HGU851830 HQM851830 HQQ851830 IAI851830 IAM851830 IKE851830 IKI851830 IUA851830 IUE851830 JDW851830 JEA851830 JNS851830 JNW851830 JXO851830 JXS851830 KHK851830 KHO851830 KRG851830 KRK851830 LBC851830 LBG851830 LKY851830 LLC851830 LUU851830 LUY851830 MEQ851830 MEU851830 MOM851830 MOQ851830 MYI851830 MYM851830 NIE851830 NII851830 NSA851830 NSE851830 OBW851830 OCA851830 OLS851830 OLW851830 OVO851830 OVS851830 PFK851830 PFO851830 PPG851830 PPK851830 PZC851830 PZG851830 QIY851830 QJC851830 QSU851830 QSY851830 RCQ851830 RCU851830 RMM851830 RMQ851830 RWI851830 RWM851830 SGE851830 SGI851830 SQA851830 SQE851830 SZW851830 TAA851830 TJS851830 TJW851830 TTO851830 TTS851830 UDK851830 UDO851830 UNG851830 UNK851830 UXC851830 UXG851830 VGY851830 VHC851830 VQU851830 VQY851830 WAQ851830 WAU851830 WKM851830 WKQ851830 WUI851830 WUM851830 HC851876 HF851876 QY851876 RB851876 AAU851876 AAX851876 AKQ851876 AKT851876 AUM851876 AUP851876 BEI851876 BEL851876 BOE851876 BOH851876 BYA851876 BYD851876 CHW851876 CHZ851876 CRS851876 CRV851876 DBO851876 DBR851876 DLK851876 DLN851876 DVG851876 DVJ851876 EFC851876 EFF851876 EOY851876 EPB851876 EYU851876 EYX851876 FIQ851876 FIT851876 FSM851876 FSP851876 GCI851876 GCL851876 GME851876 GMH851876 GWA851876 GWD851876 HFW851876 HFZ851876 HPS851876 HPV851876 HZO851876 HZR851876 IJK851876 IJN851876 ITG851876 ITJ851876 JDC851876 JDF851876 JMY851876 JNB851876 JWU851876 JWX851876 KGQ851876 KGT851876 KQM851876 KQP851876 LAI851876 LAL851876 LKE851876 LKH851876 LUA851876 LUD851876 MDW851876 MDZ851876 MNS851876 MNV851876 MXO851876 MXR851876 NHK851876 NHN851876 NRG851876 NRJ851876 OBC851876 OBF851876 OKY851876 OLB851876 OUU851876 OUX851876 PEQ851876 PET851876 POM851876 POP851876 PYI851876 PYL851876 QIE851876 QIH851876 QSA851876 QSD851876 RBW851876 RBZ851876 RLS851876 RLV851876 RVO851876 RVR851876 SFK851876 SFN851876 SPG851876 SPJ851876 SZC851876 SZF851876 TIY851876 TJB851876 TSU851876 TSX851876 UCQ851876 UCT851876 UMM851876 UMP851876 UWI851876 UWL851876 VGE851876 VGH851876 VQA851876 VQD851876 VZW851876 VZZ851876 WJS851876 WJV851876 WTO851876 WTR851876 HC851884 HF851884 QY851884 RB851884 AAU851884 AAX851884 AKQ851884 AKT851884 AUM851884 AUP851884 BEI851884 BEL851884 BOE851884 BOH851884 BYA851884 BYD851884 CHW851884 CHZ851884 CRS851884 CRV851884 DBO851884 DBR851884 DLK851884 DLN851884 DVG851884 DVJ851884 EFC851884 EFF851884 EOY851884 EPB851884 EYU851884 EYX851884 FIQ851884 FIT851884 FSM851884 FSP851884 GCI851884 GCL851884 GME851884 GMH851884 GWA851884 GWD851884 HFW851884 HFZ851884 HPS851884 HPV851884 HZO851884 HZR851884 IJK851884 IJN851884 ITG851884 ITJ851884 JDC851884 JDF851884 JMY851884 JNB851884 JWU851884 JWX851884 KGQ851884 KGT851884 KQM851884 KQP851884 LAI851884 LAL851884 LKE851884 LKH851884 LUA851884 LUD851884 MDW851884 MDZ851884 MNS851884 MNV851884 MXO851884 MXR851884 NHK851884 NHN851884 NRG851884 NRJ851884 OBC851884 OBF851884 OKY851884 OLB851884 OUU851884 OUX851884 PEQ851884 PET851884 POM851884 POP851884 PYI851884 PYL851884 QIE851884 QIH851884 QSA851884 QSD851884 RBW851884 RBZ851884 RLS851884 RLV851884 RVO851884 RVR851884 SFK851884 SFN851884 SPG851884 SPJ851884 SZC851884 SZF851884 TIY851884 TJB851884 TSU851884 TSX851884 UCQ851884 UCT851884 UMM851884 UMP851884 UWI851884 UWL851884 VGE851884 VGH851884 VQA851884 VQD851884 VZW851884 VZZ851884 WJS851884 WJV851884 WTO851884 WTR851884 AD917199 AH917199 J917245 M917245 J917253 M917253 HW917366 IA917366 RS917366 RW917366 ABO917366 ABS917366 ALK917366 ALO917366 AVG917366 AVK917366 BFC917366 BFG917366 BOY917366 BPC917366 BYU917366 BYY917366 CIQ917366 CIU917366 CSM917366 CSQ917366 DCI917366 DCM917366 DME917366 DMI917366 DWA917366 DWE917366 EFW917366 EGA917366 EPS917366 EPW917366 EZO917366 EZS917366 FJK917366 FJO917366 FTG917366 FTK917366 GDC917366 GDG917366 GMY917366 GNC917366 GWU917366 GWY917366 HGQ917366 HGU917366 HQM917366 HQQ917366 IAI917366 IAM917366 IKE917366 IKI917366 IUA917366 IUE917366 JDW917366 JEA917366 JNS917366 JNW917366 JXO917366 JXS917366 KHK917366 KHO917366 KRG917366 KRK917366 LBC917366 LBG917366 LKY917366 LLC917366 LUU917366 LUY917366 MEQ917366 MEU917366 MOM917366 MOQ917366 MYI917366 MYM917366 NIE917366 NII917366 NSA917366 NSE917366 OBW917366 OCA917366 OLS917366 OLW917366 OVO917366 OVS917366 PFK917366 PFO917366 PPG917366 PPK917366 PZC917366 PZG917366 QIY917366 QJC917366 QSU917366 QSY917366 RCQ917366 RCU917366 RMM917366 RMQ917366 RWI917366 RWM917366 SGE917366 SGI917366 SQA917366 SQE917366 SZW917366 TAA917366 TJS917366 TJW917366 TTO917366 TTS917366 UDK917366 UDO917366 UNG917366 UNK917366 UXC917366 UXG917366 VGY917366 VHC917366 VQU917366 VQY917366 WAQ917366 WAU917366 WKM917366 WKQ917366 WUI917366 WUM917366 HC917412 HF917412 QY917412 RB917412 AAU917412 AAX917412 AKQ917412 AKT917412 AUM917412 AUP917412 BEI917412 BEL917412 BOE917412 BOH917412 BYA917412 BYD917412 CHW917412 CHZ917412 CRS917412 CRV917412 DBO917412 DBR917412 DLK917412 DLN917412 DVG917412 DVJ917412 EFC917412 EFF917412 EOY917412 EPB917412 EYU917412 EYX917412 FIQ917412 FIT917412 FSM917412 FSP917412 GCI917412 GCL917412 GME917412 GMH917412 GWA917412 GWD917412 HFW917412 HFZ917412 HPS917412 HPV917412 HZO917412 HZR917412 IJK917412 IJN917412 ITG917412 ITJ917412 JDC917412 JDF917412 JMY917412 JNB917412 JWU917412 JWX917412 KGQ917412 KGT917412 KQM917412 KQP917412 LAI917412 LAL917412 LKE917412 LKH917412 LUA917412 LUD917412 MDW917412 MDZ917412 MNS917412 MNV917412 MXO917412 MXR917412 NHK917412 NHN917412 NRG917412 NRJ917412 OBC917412 OBF917412 OKY917412 OLB917412 OUU917412 OUX917412 PEQ917412 PET917412 POM917412 POP917412 PYI917412 PYL917412 QIE917412 QIH917412 QSA917412 QSD917412 RBW917412 RBZ917412 RLS917412 RLV917412 RVO917412 RVR917412 SFK917412 SFN917412 SPG917412 SPJ917412 SZC917412 SZF917412 TIY917412 TJB917412 TSU917412 TSX917412 UCQ917412 UCT917412 UMM917412 UMP917412 UWI917412 UWL917412 VGE917412 VGH917412 VQA917412 VQD917412 VZW917412 VZZ917412 WJS917412 WJV917412 WTO917412 WTR917412 HC917420 HF917420 QY917420 RB917420 AAU917420 AAX917420 AKQ917420 AKT917420 AUM917420 AUP917420 BEI917420 BEL917420 BOE917420 BOH917420 BYA917420 BYD917420 CHW917420 CHZ917420 CRS917420 CRV917420 DBO917420 DBR917420 DLK917420 DLN917420 DVG917420 DVJ917420 EFC917420 EFF917420 EOY917420 EPB917420 EYU917420 EYX917420 FIQ917420 FIT917420 FSM917420 FSP917420 GCI917420 GCL917420 GME917420 GMH917420 GWA917420 GWD917420 HFW917420 HFZ917420 HPS917420 HPV917420 HZO917420 HZR917420 IJK917420 IJN917420 ITG917420 ITJ917420 JDC917420 JDF917420 JMY917420 JNB917420 JWU917420 JWX917420 KGQ917420 KGT917420 KQM917420 KQP917420 LAI917420 LAL917420 LKE917420 LKH917420 LUA917420 LUD917420 MDW917420 MDZ917420 MNS917420 MNV917420 MXO917420 MXR917420 NHK917420 NHN917420 NRG917420 NRJ917420 OBC917420 OBF917420 OKY917420 OLB917420 OUU917420 OUX917420 PEQ917420 PET917420 POM917420 POP917420 PYI917420 PYL917420 QIE917420 QIH917420 QSA917420 QSD917420 RBW917420 RBZ917420 RLS917420 RLV917420 RVO917420 RVR917420 SFK917420 SFN917420 SPG917420 SPJ917420 SZC917420 SZF917420 TIY917420 TJB917420 TSU917420 TSX917420 UCQ917420 UCT917420 UMM917420 UMP917420 UWI917420 UWL917420 VGE917420 VGH917420 VQA917420 VQD917420 VZW917420 VZZ917420 WJS917420 WJV917420 WTO917420 WTR917420 AD982735 AH982735 J982781 M982781 J982789 M982789 HW982902 IA982902 RS982902 RW982902 ABO982902 ABS982902 ALK982902 ALO982902 AVG982902 AVK982902 BFC982902 BFG982902 BOY982902 BPC982902 BYU982902 BYY982902 CIQ982902 CIU982902 CSM982902 CSQ982902 DCI982902 DCM982902 DME982902 DMI982902 DWA982902 DWE982902 EFW982902 EGA982902 EPS982902 EPW982902 EZO982902 EZS982902 FJK982902 FJO982902 FTG982902 FTK982902 GDC982902 GDG982902 GMY982902 GNC982902 GWU982902 GWY982902 HGQ982902 HGU982902 HQM982902 HQQ982902 IAI982902 IAM982902 IKE982902 IKI982902 IUA982902 IUE982902 JDW982902 JEA982902 JNS982902 JNW982902 JXO982902 JXS982902 KHK982902 KHO982902 KRG982902 KRK982902 LBC982902 LBG982902 LKY982902 LLC982902 LUU982902 LUY982902 MEQ982902 MEU982902 MOM982902 MOQ982902 MYI982902 MYM982902 NIE982902 NII982902 NSA982902 NSE982902 OBW982902 OCA982902 OLS982902 OLW982902 OVO982902 OVS982902 PFK982902 PFO982902 PPG982902 PPK982902 PZC982902 PZG982902 QIY982902 QJC982902 QSU982902 QSY982902 RCQ982902 RCU982902 RMM982902 RMQ982902 RWI982902 RWM982902 SGE982902 SGI982902 SQA982902 SQE982902 SZW982902 TAA982902 TJS982902 TJW982902 TTO982902 TTS982902 UDK982902 UDO982902 UNG982902 UNK982902 UXC982902 UXG982902 VGY982902 VHC982902 VQU982902 VQY982902 WAQ982902 WAU982902 WKM982902 WKQ982902 WUI982902 WUM982902 HC982948 HF982948 QY982948 RB982948 AAU982948 AAX982948 AKQ982948 AKT982948 AUM982948 AUP982948 BEI982948 BEL982948 BOE982948 BOH982948 BYA982948 BYD982948 CHW982948 CHZ982948 CRS982948 CRV982948 DBO982948 DBR982948 DLK982948 DLN982948 DVG982948 DVJ982948 EFC982948 EFF982948 EOY982948 EPB982948 EYU982948 EYX982948 FIQ982948 FIT982948 FSM982948 FSP982948 GCI982948 GCL982948 GME982948 GMH982948 GWA982948 GWD982948 HFW982948 HFZ982948 HPS982948 HPV982948 HZO982948 HZR982948 IJK982948 IJN982948 ITG982948 ITJ982948 JDC982948 JDF982948 JMY982948 JNB982948 JWU982948 JWX982948 KGQ982948 KGT982948 KQM982948 KQP982948 LAI982948 LAL982948 LKE982948 LKH982948 LUA982948 LUD982948 MDW982948 MDZ982948 MNS982948 MNV982948 MXO982948 MXR982948 NHK982948 NHN982948 NRG982948 NRJ982948 OBC982948 OBF982948 OKY982948 OLB982948 OUU982948 OUX982948 PEQ982948 PET982948 POM982948 POP982948 PYI982948 PYL982948 QIE982948 QIH982948 QSA982948 QSD982948 RBW982948 RBZ982948 RLS982948 RLV982948 RVO982948 RVR982948 SFK982948 SFN982948 SPG982948 SPJ982948 SZC982948 SZF982948 TIY982948 TJB982948 TSU982948 TSX982948 UCQ982948 UCT982948 UMM982948 UMP982948 UWI982948 UWL982948 VGE982948 VGH982948 VQA982948 VQD982948 VZW982948 VZZ982948 WJS982948 WJV982948 WTO982948 WTR982948 HC982956 HF982956 QY982956 RB982956 AAU982956 AAX982956 AKQ982956 AKT982956 AUM982956 AUP982956 BEI982956 BEL982956 BOE982956 BOH982956 BYA982956 BYD982956 CHW982956 CHZ982956 CRS982956 CRV982956 DBO982956 DBR982956 DLK982956 DLN982956 DVG982956 DVJ982956 EFC982956 EFF982956 EOY982956 EPB982956 EYU982956 EYX982956 FIQ982956 FIT982956 FSM982956 FSP982956 GCI982956 GCL982956 GME982956 GMH982956 GWA982956 GWD982956 HFW982956 HFZ982956 HPS982956 HPV982956 HZO982956 HZR982956 IJK982956 IJN982956 ITG982956 ITJ982956 JDC982956 JDF982956 JMY982956 JNB982956 JWU982956 JWX982956 KGQ982956 KGT982956 KQM982956 KQP982956 LAI982956 LAL982956 LKE982956 LKH982956 LUA982956 LUD982956 MDW982956 MDZ982956 MNS982956 MNV982956 MXO982956 MXR982956 NHK982956 NHN982956 NRG982956 NRJ982956 OBC982956 OBF982956 OKY982956 OLB982956 OUU982956 OUX982956 PEQ982956 PET982956 POM982956 POP982956 PYI982956 PYL982956 QIE982956 QIH982956 QSA982956 QSD982956 RBW982956 RBZ982956 RLS982956 RLV982956 RVO982956 RVR982956 SFK982956 SFN982956 SPG982956 SPJ982956 SZC982956 SZF982956 TIY982956 TJB982956 TSU982956 TSX982956 UCQ982956 UCT982956 UMM982956 UMP982956 UWI982956 UWL982956 VGE982956 VGH982956 VQA982956 VQD982956 VZW982956 VZZ982956 WJS982956 WJV982956 WTO982956 WTR982956 B65263:B65267 B130799:B130803 B196335:B196339 B261871:B261875 B327407:B327411 B392943:B392947 B458479:B458483 B524015:B524019 B589551:B589555 B655087:B655091 B720623:B720627 B786159:B786163 B851695:B851699 B917231:B917235 B982767:B982771 V65263:V65267 V130799:V130803 V196335:V196339 V261871:V261875 V327407:V327411 V392943:V392947 V458479:V458483 V524015:V524019 V589551:V589555 V655087:V655091 V720623:V720627 V786159:V786163 V851695:V851699 V917231:V917235 V982767:V982771 AB65263:AB65267 AB130799:AB130803 AB196335:AB196339 AB261871:AB261875 AB327407:AB327411 AB392943:AB392947 AB458479:AB458483 AB524015:AB524019 AB589551:AB589555 AB655087:AB655091 AB720623:AB720627 AB786159:AB786163 AB851695:AB851699 AB917231:AB917235 AB982767:AB982771 GU55:GU56 GU59:GU60 GU65430:GU65434 GU130966:GU130970 GU196502:GU196506 GU262038:GU262042 GU327574:GU327578 GU393110:GU393114 GU458646:GU458650 GU524182:GU524186 GU589718:GU589722 GU655254:GU655258 GU720790:GU720794 GU786326:GU786330 GU851862:GU851866 GU917398:GU917402 GU982934:GU982938 HO55:HO56 HO59:HO60 HO65430:HO65434 HO130966:HO130970 HO196502:HO196506 HO262038:HO262042 HO327574:HO327578 HO393110:HO393114 HO458646:HO458650 HO524182:HO524186 HO589718:HO589722 HO655254:HO655258 HO720790:HO720794 HO786326:HO786330 HO851862:HO851866 HO917398:HO917402 HO982934:HO982938 HU9:HU10 HU55:HU56 HU59:HU60 HU65430:HU65434 HU130966:HU130970 HU196502:HU196506 HU262038:HU262042 HU327574:HU327578 HU393110:HU393114 HU458646:HU458650 HU524182:HU524186 HU589718:HU589722 HU655254:HU655258 HU720790:HU720794 HU786326:HU786330 HU851862:HU851866 HU917398:HU917402 HU982934:HU982938 HY9:HY10 QQ55:QQ56 QQ59:QQ60 QQ65430:QQ65434 QQ130966:QQ130970 QQ196502:QQ196506 QQ262038:QQ262042 QQ327574:QQ327578 QQ393110:QQ393114 QQ458646:QQ458650 QQ524182:QQ524186 QQ589718:QQ589722 QQ655254:QQ655258 QQ720790:QQ720794 QQ786326:QQ786330 QQ851862:QQ851866 QQ917398:QQ917402 QQ982934:QQ982938 RK55:RK56 RK59:RK60 RK65430:RK65434 RK130966:RK130970 RK196502:RK196506 RK262038:RK262042 RK327574:RK327578 RK393110:RK393114 RK458646:RK458650 RK524182:RK524186 RK589718:RK589722 RK655254:RK655258 RK720790:RK720794 RK786326:RK786330 RK851862:RK851866 RK917398:RK917402 RK982934:RK982938 RQ9:RQ10 RQ55:RQ56 RQ59:RQ60 RQ65430:RQ65434 RQ130966:RQ130970 RQ196502:RQ196506 RQ262038:RQ262042 RQ327574:RQ327578 RQ393110:RQ393114 RQ458646:RQ458650 RQ524182:RQ524186 RQ589718:RQ589722 RQ655254:RQ655258 RQ720790:RQ720794 RQ786326:RQ786330 RQ851862:RQ851866 RQ917398:RQ917402 RQ982934:RQ982938 RU9:RU10 AAM55:AAM56 AAM59:AAM60 AAM65430:AAM65434 AAM130966:AAM130970 AAM196502:AAM196506 AAM262038:AAM262042 AAM327574:AAM327578 AAM393110:AAM393114 AAM458646:AAM458650 AAM524182:AAM524186 AAM589718:AAM589722 AAM655254:AAM655258 AAM720790:AAM720794 AAM786326:AAM786330 AAM851862:AAM851866 AAM917398:AAM917402 AAM982934:AAM982938 ABG55:ABG56 ABG59:ABG60 ABG65430:ABG65434 ABG130966:ABG130970 ABG196502:ABG196506 ABG262038:ABG262042 ABG327574:ABG327578 ABG393110:ABG393114 ABG458646:ABG458650 ABG524182:ABG524186 ABG589718:ABG589722 ABG655254:ABG655258 ABG720790:ABG720794 ABG786326:ABG786330 ABG851862:ABG851866 ABG917398:ABG917402 ABG982934:ABG982938 ABM9:ABM10 ABM55:ABM56 ABM59:ABM60 ABM65430:ABM65434 ABM130966:ABM130970 ABM196502:ABM196506 ABM262038:ABM262042 ABM327574:ABM327578 ABM393110:ABM393114 ABM458646:ABM458650 ABM524182:ABM524186 ABM589718:ABM589722 ABM655254:ABM655258 ABM720790:ABM720794 ABM786326:ABM786330 ABM851862:ABM851866 ABM917398:ABM917402 ABM982934:ABM982938 ABQ9:ABQ10 AKI55:AKI56 AKI59:AKI60 AKI65430:AKI65434 AKI130966:AKI130970 AKI196502:AKI196506 AKI262038:AKI262042 AKI327574:AKI327578 AKI393110:AKI393114 AKI458646:AKI458650 AKI524182:AKI524186 AKI589718:AKI589722 AKI655254:AKI655258 AKI720790:AKI720794 AKI786326:AKI786330 AKI851862:AKI851866 AKI917398:AKI917402 AKI982934:AKI982938 ALC55:ALC56 ALC59:ALC60 ALC65430:ALC65434 ALC130966:ALC130970 ALC196502:ALC196506 ALC262038:ALC262042 ALC327574:ALC327578 ALC393110:ALC393114 ALC458646:ALC458650 ALC524182:ALC524186 ALC589718:ALC589722 ALC655254:ALC655258 ALC720790:ALC720794 ALC786326:ALC786330 ALC851862:ALC851866 ALC917398:ALC917402 ALC982934:ALC982938 ALI9:ALI10 ALI55:ALI56 ALI59:ALI60 ALI65430:ALI65434 ALI130966:ALI130970 ALI196502:ALI196506 ALI262038:ALI262042 ALI327574:ALI327578 ALI393110:ALI393114 ALI458646:ALI458650 ALI524182:ALI524186 ALI589718:ALI589722 ALI655254:ALI655258 ALI720790:ALI720794 ALI786326:ALI786330 ALI851862:ALI851866 ALI917398:ALI917402 ALI982934:ALI982938 ALM9:ALM10 AUE55:AUE56 AUE59:AUE60 AUE65430:AUE65434 AUE130966:AUE130970 AUE196502:AUE196506 AUE262038:AUE262042 AUE327574:AUE327578 AUE393110:AUE393114 AUE458646:AUE458650 AUE524182:AUE524186 AUE589718:AUE589722 AUE655254:AUE655258 AUE720790:AUE720794 AUE786326:AUE786330 AUE851862:AUE851866 AUE917398:AUE917402 AUE982934:AUE982938 AUY55:AUY56 AUY59:AUY60 AUY65430:AUY65434 AUY130966:AUY130970 AUY196502:AUY196506 AUY262038:AUY262042 AUY327574:AUY327578 AUY393110:AUY393114 AUY458646:AUY458650 AUY524182:AUY524186 AUY589718:AUY589722 AUY655254:AUY655258 AUY720790:AUY720794 AUY786326:AUY786330 AUY851862:AUY851866 AUY917398:AUY917402 AUY982934:AUY982938 AVE9:AVE10 AVE55:AVE56 AVE59:AVE60 AVE65430:AVE65434 AVE130966:AVE130970 AVE196502:AVE196506 AVE262038:AVE262042 AVE327574:AVE327578 AVE393110:AVE393114 AVE458646:AVE458650 AVE524182:AVE524186 AVE589718:AVE589722 AVE655254:AVE655258 AVE720790:AVE720794 AVE786326:AVE786330 AVE851862:AVE851866 AVE917398:AVE917402 AVE982934:AVE982938 AVI9:AVI10 BEA55:BEA56 BEA59:BEA60 BEA65430:BEA65434 BEA130966:BEA130970 BEA196502:BEA196506 BEA262038:BEA262042 BEA327574:BEA327578 BEA393110:BEA393114 BEA458646:BEA458650 BEA524182:BEA524186 BEA589718:BEA589722 BEA655254:BEA655258 BEA720790:BEA720794 BEA786326:BEA786330 BEA851862:BEA851866 BEA917398:BEA917402 BEA982934:BEA982938 BEU55:BEU56 BEU59:BEU60 BEU65430:BEU65434 BEU130966:BEU130970 BEU196502:BEU196506 BEU262038:BEU262042 BEU327574:BEU327578 BEU393110:BEU393114 BEU458646:BEU458650 BEU524182:BEU524186 BEU589718:BEU589722 BEU655254:BEU655258 BEU720790:BEU720794 BEU786326:BEU786330 BEU851862:BEU851866 BEU917398:BEU917402 BEU982934:BEU982938 BFA9:BFA10 BFA55:BFA56 BFA59:BFA60 BFA65430:BFA65434 BFA130966:BFA130970 BFA196502:BFA196506 BFA262038:BFA262042 BFA327574:BFA327578 BFA393110:BFA393114 BFA458646:BFA458650 BFA524182:BFA524186 BFA589718:BFA589722 BFA655254:BFA655258 BFA720790:BFA720794 BFA786326:BFA786330 BFA851862:BFA851866 BFA917398:BFA917402 BFA982934:BFA982938 BFE9:BFE10 BNW55:BNW56 BNW59:BNW60 BNW65430:BNW65434 BNW130966:BNW130970 BNW196502:BNW196506 BNW262038:BNW262042 BNW327574:BNW327578 BNW393110:BNW393114 BNW458646:BNW458650 BNW524182:BNW524186 BNW589718:BNW589722 BNW655254:BNW655258 BNW720790:BNW720794 BNW786326:BNW786330 BNW851862:BNW851866 BNW917398:BNW917402 BNW982934:BNW982938 BOQ55:BOQ56 BOQ59:BOQ60 BOQ65430:BOQ65434 BOQ130966:BOQ130970 BOQ196502:BOQ196506 BOQ262038:BOQ262042 BOQ327574:BOQ327578 BOQ393110:BOQ393114 BOQ458646:BOQ458650 BOQ524182:BOQ524186 BOQ589718:BOQ589722 BOQ655254:BOQ655258 BOQ720790:BOQ720794 BOQ786326:BOQ786330 BOQ851862:BOQ851866 BOQ917398:BOQ917402 BOQ982934:BOQ982938 BOW9:BOW10 BOW55:BOW56 BOW59:BOW60 BOW65430:BOW65434 BOW130966:BOW130970 BOW196502:BOW196506 BOW262038:BOW262042 BOW327574:BOW327578 BOW393110:BOW393114 BOW458646:BOW458650 BOW524182:BOW524186 BOW589718:BOW589722 BOW655254:BOW655258 BOW720790:BOW720794 BOW786326:BOW786330 BOW851862:BOW851866 BOW917398:BOW917402 BOW982934:BOW982938 BPA9:BPA10 BXS55:BXS56 BXS59:BXS60 BXS65430:BXS65434 BXS130966:BXS130970 BXS196502:BXS196506 BXS262038:BXS262042 BXS327574:BXS327578 BXS393110:BXS393114 BXS458646:BXS458650 BXS524182:BXS524186 BXS589718:BXS589722 BXS655254:BXS655258 BXS720790:BXS720794 BXS786326:BXS786330 BXS851862:BXS851866 BXS917398:BXS917402 BXS982934:BXS982938 BYM55:BYM56 BYM59:BYM60 BYM65430:BYM65434 BYM130966:BYM130970 BYM196502:BYM196506 BYM262038:BYM262042 BYM327574:BYM327578 BYM393110:BYM393114 BYM458646:BYM458650 BYM524182:BYM524186 BYM589718:BYM589722 BYM655254:BYM655258 BYM720790:BYM720794 BYM786326:BYM786330 BYM851862:BYM851866 BYM917398:BYM917402 BYM982934:BYM982938 BYS9:BYS10 BYS55:BYS56 BYS59:BYS60 BYS65430:BYS65434 BYS130966:BYS130970 BYS196502:BYS196506 BYS262038:BYS262042 BYS327574:BYS327578 BYS393110:BYS393114 BYS458646:BYS458650 BYS524182:BYS524186 BYS589718:BYS589722 BYS655254:BYS655258 BYS720790:BYS720794 BYS786326:BYS786330 BYS851862:BYS851866 BYS917398:BYS917402 BYS982934:BYS982938 BYW9:BYW10 CHO55:CHO56 CHO59:CHO60 CHO65430:CHO65434 CHO130966:CHO130970 CHO196502:CHO196506 CHO262038:CHO262042 CHO327574:CHO327578 CHO393110:CHO393114 CHO458646:CHO458650 CHO524182:CHO524186 CHO589718:CHO589722 CHO655254:CHO655258 CHO720790:CHO720794 CHO786326:CHO786330 CHO851862:CHO851866 CHO917398:CHO917402 CHO982934:CHO982938 CII55:CII56 CII59:CII60 CII65430:CII65434 CII130966:CII130970 CII196502:CII196506 CII262038:CII262042 CII327574:CII327578 CII393110:CII393114 CII458646:CII458650 CII524182:CII524186 CII589718:CII589722 CII655254:CII655258 CII720790:CII720794 CII786326:CII786330 CII851862:CII851866 CII917398:CII917402 CII982934:CII982938 CIO9:CIO10 CIO55:CIO56 CIO59:CIO60 CIO65430:CIO65434 CIO130966:CIO130970 CIO196502:CIO196506 CIO262038:CIO262042 CIO327574:CIO327578 CIO393110:CIO393114 CIO458646:CIO458650 CIO524182:CIO524186 CIO589718:CIO589722 CIO655254:CIO655258 CIO720790:CIO720794 CIO786326:CIO786330 CIO851862:CIO851866 CIO917398:CIO917402 CIO982934:CIO982938 CIS9:CIS10 CRK55:CRK56 CRK59:CRK60 CRK65430:CRK65434 CRK130966:CRK130970 CRK196502:CRK196506 CRK262038:CRK262042 CRK327574:CRK327578 CRK393110:CRK393114 CRK458646:CRK458650 CRK524182:CRK524186 CRK589718:CRK589722 CRK655254:CRK655258 CRK720790:CRK720794 CRK786326:CRK786330 CRK851862:CRK851866 CRK917398:CRK917402 CRK982934:CRK982938 CSE55:CSE56 CSE59:CSE60 CSE65430:CSE65434 CSE130966:CSE130970 CSE196502:CSE196506 CSE262038:CSE262042 CSE327574:CSE327578 CSE393110:CSE393114 CSE458646:CSE458650 CSE524182:CSE524186 CSE589718:CSE589722 CSE655254:CSE655258 CSE720790:CSE720794 CSE786326:CSE786330 CSE851862:CSE851866 CSE917398:CSE917402 CSE982934:CSE982938 CSK9:CSK10 CSK55:CSK56 CSK59:CSK60 CSK65430:CSK65434 CSK130966:CSK130970 CSK196502:CSK196506 CSK262038:CSK262042 CSK327574:CSK327578 CSK393110:CSK393114 CSK458646:CSK458650 CSK524182:CSK524186 CSK589718:CSK589722 CSK655254:CSK655258 CSK720790:CSK720794 CSK786326:CSK786330 CSK851862:CSK851866 CSK917398:CSK917402 CSK982934:CSK982938 CSO9:CSO10 DBG55:DBG56 DBG59:DBG60 DBG65430:DBG65434 DBG130966:DBG130970 DBG196502:DBG196506 DBG262038:DBG262042 DBG327574:DBG327578 DBG393110:DBG393114 DBG458646:DBG458650 DBG524182:DBG524186 DBG589718:DBG589722 DBG655254:DBG655258 DBG720790:DBG720794 DBG786326:DBG786330 DBG851862:DBG851866 DBG917398:DBG917402 DBG982934:DBG982938 DCA55:DCA56 DCA59:DCA60 DCA65430:DCA65434 DCA130966:DCA130970 DCA196502:DCA196506 DCA262038:DCA262042 DCA327574:DCA327578 DCA393110:DCA393114 DCA458646:DCA458650 DCA524182:DCA524186 DCA589718:DCA589722 DCA655254:DCA655258 DCA720790:DCA720794 DCA786326:DCA786330 DCA851862:DCA851866 DCA917398:DCA917402 DCA982934:DCA982938 DCG9:DCG10 DCG55:DCG56 DCG59:DCG60 DCG65430:DCG65434 DCG130966:DCG130970 DCG196502:DCG196506 DCG262038:DCG262042 DCG327574:DCG327578 DCG393110:DCG393114 DCG458646:DCG458650 DCG524182:DCG524186 DCG589718:DCG589722 DCG655254:DCG655258 DCG720790:DCG720794 DCG786326:DCG786330 DCG851862:DCG851866 DCG917398:DCG917402 DCG982934:DCG982938 DCK9:DCK10 DLC55:DLC56 DLC59:DLC60 DLC65430:DLC65434 DLC130966:DLC130970 DLC196502:DLC196506 DLC262038:DLC262042 DLC327574:DLC327578 DLC393110:DLC393114 DLC458646:DLC458650 DLC524182:DLC524186 DLC589718:DLC589722 DLC655254:DLC655258 DLC720790:DLC720794 DLC786326:DLC786330 DLC851862:DLC851866 DLC917398:DLC917402 DLC982934:DLC982938 DLW55:DLW56 DLW59:DLW60 DLW65430:DLW65434 DLW130966:DLW130970 DLW196502:DLW196506 DLW262038:DLW262042 DLW327574:DLW327578 DLW393110:DLW393114 DLW458646:DLW458650 DLW524182:DLW524186 DLW589718:DLW589722 DLW655254:DLW655258 DLW720790:DLW720794 DLW786326:DLW786330 DLW851862:DLW851866 DLW917398:DLW917402 DLW982934:DLW982938 DMC9:DMC10 DMC55:DMC56 DMC59:DMC60 DMC65430:DMC65434 DMC130966:DMC130970 DMC196502:DMC196506 DMC262038:DMC262042 DMC327574:DMC327578 DMC393110:DMC393114 DMC458646:DMC458650 DMC524182:DMC524186 DMC589718:DMC589722 DMC655254:DMC655258 DMC720790:DMC720794 DMC786326:DMC786330 DMC851862:DMC851866 DMC917398:DMC917402 DMC982934:DMC982938 DMG9:DMG10 DUY55:DUY56 DUY59:DUY60 DUY65430:DUY65434 DUY130966:DUY130970 DUY196502:DUY196506 DUY262038:DUY262042 DUY327574:DUY327578 DUY393110:DUY393114 DUY458646:DUY458650 DUY524182:DUY524186 DUY589718:DUY589722 DUY655254:DUY655258 DUY720790:DUY720794 DUY786326:DUY786330 DUY851862:DUY851866 DUY917398:DUY917402 DUY982934:DUY982938 DVS55:DVS56 DVS59:DVS60 DVS65430:DVS65434 DVS130966:DVS130970 DVS196502:DVS196506 DVS262038:DVS262042 DVS327574:DVS327578 DVS393110:DVS393114 DVS458646:DVS458650 DVS524182:DVS524186 DVS589718:DVS589722 DVS655254:DVS655258 DVS720790:DVS720794 DVS786326:DVS786330 DVS851862:DVS851866 DVS917398:DVS917402 DVS982934:DVS982938 DVY9:DVY10 DVY55:DVY56 DVY59:DVY60 DVY65430:DVY65434 DVY130966:DVY130970 DVY196502:DVY196506 DVY262038:DVY262042 DVY327574:DVY327578 DVY393110:DVY393114 DVY458646:DVY458650 DVY524182:DVY524186 DVY589718:DVY589722 DVY655254:DVY655258 DVY720790:DVY720794 DVY786326:DVY786330 DVY851862:DVY851866 DVY917398:DVY917402 DVY982934:DVY982938 DWC9:DWC10 EEU55:EEU56 EEU59:EEU60 EEU65430:EEU65434 EEU130966:EEU130970 EEU196502:EEU196506 EEU262038:EEU262042 EEU327574:EEU327578 EEU393110:EEU393114 EEU458646:EEU458650 EEU524182:EEU524186 EEU589718:EEU589722 EEU655254:EEU655258 EEU720790:EEU720794 EEU786326:EEU786330 EEU851862:EEU851866 EEU917398:EEU917402 EEU982934:EEU982938 EFO55:EFO56 EFO59:EFO60 EFO65430:EFO65434 EFO130966:EFO130970 EFO196502:EFO196506 EFO262038:EFO262042 EFO327574:EFO327578 EFO393110:EFO393114 EFO458646:EFO458650 EFO524182:EFO524186 EFO589718:EFO589722 EFO655254:EFO655258 EFO720790:EFO720794 EFO786326:EFO786330 EFO851862:EFO851866 EFO917398:EFO917402 EFO982934:EFO982938 EFU9:EFU10 EFU55:EFU56 EFU59:EFU60 EFU65430:EFU65434 EFU130966:EFU130970 EFU196502:EFU196506 EFU262038:EFU262042 EFU327574:EFU327578 EFU393110:EFU393114 EFU458646:EFU458650 EFU524182:EFU524186 EFU589718:EFU589722 EFU655254:EFU655258 EFU720790:EFU720794 EFU786326:EFU786330 EFU851862:EFU851866 EFU917398:EFU917402 EFU982934:EFU982938 EFY9:EFY10 EOQ55:EOQ56 EOQ59:EOQ60 EOQ65430:EOQ65434 EOQ130966:EOQ130970 EOQ196502:EOQ196506 EOQ262038:EOQ262042 EOQ327574:EOQ327578 EOQ393110:EOQ393114 EOQ458646:EOQ458650 EOQ524182:EOQ524186 EOQ589718:EOQ589722 EOQ655254:EOQ655258 EOQ720790:EOQ720794 EOQ786326:EOQ786330 EOQ851862:EOQ851866 EOQ917398:EOQ917402 EOQ982934:EOQ982938 EPK55:EPK56 EPK59:EPK60 EPK65430:EPK65434 EPK130966:EPK130970 EPK196502:EPK196506 EPK262038:EPK262042 EPK327574:EPK327578 EPK393110:EPK393114 EPK458646:EPK458650 EPK524182:EPK524186 EPK589718:EPK589722 EPK655254:EPK655258 EPK720790:EPK720794 EPK786326:EPK786330 EPK851862:EPK851866 EPK917398:EPK917402 EPK982934:EPK982938 EPQ9:EPQ10 EPQ55:EPQ56 EPQ59:EPQ60 EPQ65430:EPQ65434 EPQ130966:EPQ130970 EPQ196502:EPQ196506 EPQ262038:EPQ262042 EPQ327574:EPQ327578 EPQ393110:EPQ393114 EPQ458646:EPQ458650 EPQ524182:EPQ524186 EPQ589718:EPQ589722 EPQ655254:EPQ655258 EPQ720790:EPQ720794 EPQ786326:EPQ786330 EPQ851862:EPQ851866 EPQ917398:EPQ917402 EPQ982934:EPQ982938 EPU9:EPU10 EYM55:EYM56 EYM59:EYM60 EYM65430:EYM65434 EYM130966:EYM130970 EYM196502:EYM196506 EYM262038:EYM262042 EYM327574:EYM327578 EYM393110:EYM393114 EYM458646:EYM458650 EYM524182:EYM524186 EYM589718:EYM589722 EYM655254:EYM655258 EYM720790:EYM720794 EYM786326:EYM786330 EYM851862:EYM851866 EYM917398:EYM917402 EYM982934:EYM982938 EZG55:EZG56 EZG59:EZG60 EZG65430:EZG65434 EZG130966:EZG130970 EZG196502:EZG196506 EZG262038:EZG262042 EZG327574:EZG327578 EZG393110:EZG393114 EZG458646:EZG458650 EZG524182:EZG524186 EZG589718:EZG589722 EZG655254:EZG655258 EZG720790:EZG720794 EZG786326:EZG786330 EZG851862:EZG851866 EZG917398:EZG917402 EZG982934:EZG982938 EZM9:EZM10 EZM55:EZM56 EZM59:EZM60 EZM65430:EZM65434 EZM130966:EZM130970 EZM196502:EZM196506 EZM262038:EZM262042 EZM327574:EZM327578 EZM393110:EZM393114 EZM458646:EZM458650 EZM524182:EZM524186 EZM589718:EZM589722 EZM655254:EZM655258 EZM720790:EZM720794 EZM786326:EZM786330 EZM851862:EZM851866 EZM917398:EZM917402 EZM982934:EZM982938 EZQ9:EZQ10 FII55:FII56 FII59:FII60 FII65430:FII65434 FII130966:FII130970 FII196502:FII196506 FII262038:FII262042 FII327574:FII327578 FII393110:FII393114 FII458646:FII458650 FII524182:FII524186 FII589718:FII589722 FII655254:FII655258 FII720790:FII720794 FII786326:FII786330 FII851862:FII851866 FII917398:FII917402 FII982934:FII982938 FJC55:FJC56 FJC59:FJC60 FJC65430:FJC65434 FJC130966:FJC130970 FJC196502:FJC196506 FJC262038:FJC262042 FJC327574:FJC327578 FJC393110:FJC393114 FJC458646:FJC458650 FJC524182:FJC524186 FJC589718:FJC589722 FJC655254:FJC655258 FJC720790:FJC720794 FJC786326:FJC786330 FJC851862:FJC851866 FJC917398:FJC917402 FJC982934:FJC982938 FJI9:FJI10 FJI55:FJI56 FJI59:FJI60 FJI65430:FJI65434 FJI130966:FJI130970 FJI196502:FJI196506 FJI262038:FJI262042 FJI327574:FJI327578 FJI393110:FJI393114 FJI458646:FJI458650 FJI524182:FJI524186 FJI589718:FJI589722 FJI655254:FJI655258 FJI720790:FJI720794 FJI786326:FJI786330 FJI851862:FJI851866 FJI917398:FJI917402 FJI982934:FJI982938 FJM9:FJM10 FSE55:FSE56 FSE59:FSE60 FSE65430:FSE65434 FSE130966:FSE130970 FSE196502:FSE196506 FSE262038:FSE262042 FSE327574:FSE327578 FSE393110:FSE393114 FSE458646:FSE458650 FSE524182:FSE524186 FSE589718:FSE589722 FSE655254:FSE655258 FSE720790:FSE720794 FSE786326:FSE786330 FSE851862:FSE851866 FSE917398:FSE917402 FSE982934:FSE982938 FSY55:FSY56 FSY59:FSY60 FSY65430:FSY65434 FSY130966:FSY130970 FSY196502:FSY196506 FSY262038:FSY262042 FSY327574:FSY327578 FSY393110:FSY393114 FSY458646:FSY458650 FSY524182:FSY524186 FSY589718:FSY589722 FSY655254:FSY655258 FSY720790:FSY720794 FSY786326:FSY786330 FSY851862:FSY851866 FSY917398:FSY917402 FSY982934:FSY982938 FTE9:FTE10 FTE55:FTE56 FTE59:FTE60 FTE65430:FTE65434 FTE130966:FTE130970 FTE196502:FTE196506 FTE262038:FTE262042 FTE327574:FTE327578 FTE393110:FTE393114 FTE458646:FTE458650 FTE524182:FTE524186 FTE589718:FTE589722 FTE655254:FTE655258 FTE720790:FTE720794 FTE786326:FTE786330 FTE851862:FTE851866 FTE917398:FTE917402 FTE982934:FTE982938 FTI9:FTI10 GCA55:GCA56 GCA59:GCA60 GCA65430:GCA65434 GCA130966:GCA130970 GCA196502:GCA196506 GCA262038:GCA262042 GCA327574:GCA327578 GCA393110:GCA393114 GCA458646:GCA458650 GCA524182:GCA524186 GCA589718:GCA589722 GCA655254:GCA655258 GCA720790:GCA720794 GCA786326:GCA786330 GCA851862:GCA851866 GCA917398:GCA917402 GCA982934:GCA982938 GCU55:GCU56 GCU59:GCU60 GCU65430:GCU65434 GCU130966:GCU130970 GCU196502:GCU196506 GCU262038:GCU262042 GCU327574:GCU327578 GCU393110:GCU393114 GCU458646:GCU458650 GCU524182:GCU524186 GCU589718:GCU589722 GCU655254:GCU655258 GCU720790:GCU720794 GCU786326:GCU786330 GCU851862:GCU851866 GCU917398:GCU917402 GCU982934:GCU982938 GDA9:GDA10 GDA55:GDA56 GDA59:GDA60 GDA65430:GDA65434 GDA130966:GDA130970 GDA196502:GDA196506 GDA262038:GDA262042 GDA327574:GDA327578 GDA393110:GDA393114 GDA458646:GDA458650 GDA524182:GDA524186 GDA589718:GDA589722 GDA655254:GDA655258 GDA720790:GDA720794 GDA786326:GDA786330 GDA851862:GDA851866 GDA917398:GDA917402 GDA982934:GDA982938 GDE9:GDE10 GLW55:GLW56 GLW59:GLW60 GLW65430:GLW65434 GLW130966:GLW130970 GLW196502:GLW196506 GLW262038:GLW262042 GLW327574:GLW327578 GLW393110:GLW393114 GLW458646:GLW458650 GLW524182:GLW524186 GLW589718:GLW589722 GLW655254:GLW655258 GLW720790:GLW720794 GLW786326:GLW786330 GLW851862:GLW851866 GLW917398:GLW917402 GLW982934:GLW982938 GMQ55:GMQ56 GMQ59:GMQ60 GMQ65430:GMQ65434 GMQ130966:GMQ130970 GMQ196502:GMQ196506 GMQ262038:GMQ262042 GMQ327574:GMQ327578 GMQ393110:GMQ393114 GMQ458646:GMQ458650 GMQ524182:GMQ524186 GMQ589718:GMQ589722 GMQ655254:GMQ655258 GMQ720790:GMQ720794 GMQ786326:GMQ786330 GMQ851862:GMQ851866 GMQ917398:GMQ917402 GMQ982934:GMQ982938 GMW9:GMW10 GMW55:GMW56 GMW59:GMW60 GMW65430:GMW65434 GMW130966:GMW130970 GMW196502:GMW196506 GMW262038:GMW262042 GMW327574:GMW327578 GMW393110:GMW393114 GMW458646:GMW458650 GMW524182:GMW524186 GMW589718:GMW589722 GMW655254:GMW655258 GMW720790:GMW720794 GMW786326:GMW786330 GMW851862:GMW851866 GMW917398:GMW917402 GMW982934:GMW982938 GNA9:GNA10 GVS55:GVS56 GVS59:GVS60 GVS65430:GVS65434 GVS130966:GVS130970 GVS196502:GVS196506 GVS262038:GVS262042 GVS327574:GVS327578 GVS393110:GVS393114 GVS458646:GVS458650 GVS524182:GVS524186 GVS589718:GVS589722 GVS655254:GVS655258 GVS720790:GVS720794 GVS786326:GVS786330 GVS851862:GVS851866 GVS917398:GVS917402 GVS982934:GVS982938 GWM55:GWM56 GWM59:GWM60 GWM65430:GWM65434 GWM130966:GWM130970 GWM196502:GWM196506 GWM262038:GWM262042 GWM327574:GWM327578 GWM393110:GWM393114 GWM458646:GWM458650 GWM524182:GWM524186 GWM589718:GWM589722 GWM655254:GWM655258 GWM720790:GWM720794 GWM786326:GWM786330 GWM851862:GWM851866 GWM917398:GWM917402 GWM982934:GWM982938 GWS9:GWS10 GWS55:GWS56 GWS59:GWS60 GWS65430:GWS65434 GWS130966:GWS130970 GWS196502:GWS196506 GWS262038:GWS262042 GWS327574:GWS327578 GWS393110:GWS393114 GWS458646:GWS458650 GWS524182:GWS524186 GWS589718:GWS589722 GWS655254:GWS655258 GWS720790:GWS720794 GWS786326:GWS786330 GWS851862:GWS851866 GWS917398:GWS917402 GWS982934:GWS982938 GWW9:GWW10 HFO55:HFO56 HFO59:HFO60 HFO65430:HFO65434 HFO130966:HFO130970 HFO196502:HFO196506 HFO262038:HFO262042 HFO327574:HFO327578 HFO393110:HFO393114 HFO458646:HFO458650 HFO524182:HFO524186 HFO589718:HFO589722 HFO655254:HFO655258 HFO720790:HFO720794 HFO786326:HFO786330 HFO851862:HFO851866 HFO917398:HFO917402 HFO982934:HFO982938 HGI55:HGI56 HGI59:HGI60 HGI65430:HGI65434 HGI130966:HGI130970 HGI196502:HGI196506 HGI262038:HGI262042 HGI327574:HGI327578 HGI393110:HGI393114 HGI458646:HGI458650 HGI524182:HGI524186 HGI589718:HGI589722 HGI655254:HGI655258 HGI720790:HGI720794 HGI786326:HGI786330 HGI851862:HGI851866 HGI917398:HGI917402 HGI982934:HGI982938 HGO9:HGO10 HGO55:HGO56 HGO59:HGO60 HGO65430:HGO65434 HGO130966:HGO130970 HGO196502:HGO196506 HGO262038:HGO262042 HGO327574:HGO327578 HGO393110:HGO393114 HGO458646:HGO458650 HGO524182:HGO524186 HGO589718:HGO589722 HGO655254:HGO655258 HGO720790:HGO720794 HGO786326:HGO786330 HGO851862:HGO851866 HGO917398:HGO917402 HGO982934:HGO982938 HGS9:HGS10 HPK55:HPK56 HPK59:HPK60 HPK65430:HPK65434 HPK130966:HPK130970 HPK196502:HPK196506 HPK262038:HPK262042 HPK327574:HPK327578 HPK393110:HPK393114 HPK458646:HPK458650 HPK524182:HPK524186 HPK589718:HPK589722 HPK655254:HPK655258 HPK720790:HPK720794 HPK786326:HPK786330 HPK851862:HPK851866 HPK917398:HPK917402 HPK982934:HPK982938 HQE55:HQE56 HQE59:HQE60 HQE65430:HQE65434 HQE130966:HQE130970 HQE196502:HQE196506 HQE262038:HQE262042 HQE327574:HQE327578 HQE393110:HQE393114 HQE458646:HQE458650 HQE524182:HQE524186 HQE589718:HQE589722 HQE655254:HQE655258 HQE720790:HQE720794 HQE786326:HQE786330 HQE851862:HQE851866 HQE917398:HQE917402 HQE982934:HQE982938 HQK9:HQK10 HQK55:HQK56 HQK59:HQK60 HQK65430:HQK65434 HQK130966:HQK130970 HQK196502:HQK196506 HQK262038:HQK262042 HQK327574:HQK327578 HQK393110:HQK393114 HQK458646:HQK458650 HQK524182:HQK524186 HQK589718:HQK589722 HQK655254:HQK655258 HQK720790:HQK720794 HQK786326:HQK786330 HQK851862:HQK851866 HQK917398:HQK917402 HQK982934:HQK982938 HQO9:HQO10 HZG55:HZG56 HZG59:HZG60 HZG65430:HZG65434 HZG130966:HZG130970 HZG196502:HZG196506 HZG262038:HZG262042 HZG327574:HZG327578 HZG393110:HZG393114 HZG458646:HZG458650 HZG524182:HZG524186 HZG589718:HZG589722 HZG655254:HZG655258 HZG720790:HZG720794 HZG786326:HZG786330 HZG851862:HZG851866 HZG917398:HZG917402 HZG982934:HZG982938 IAA55:IAA56 IAA59:IAA60 IAA65430:IAA65434 IAA130966:IAA130970 IAA196502:IAA196506 IAA262038:IAA262042 IAA327574:IAA327578 IAA393110:IAA393114 IAA458646:IAA458650 IAA524182:IAA524186 IAA589718:IAA589722 IAA655254:IAA655258 IAA720790:IAA720794 IAA786326:IAA786330 IAA851862:IAA851866 IAA917398:IAA917402 IAA982934:IAA982938 IAG9:IAG10 IAG55:IAG56 IAG59:IAG60 IAG65430:IAG65434 IAG130966:IAG130970 IAG196502:IAG196506 IAG262038:IAG262042 IAG327574:IAG327578 IAG393110:IAG393114 IAG458646:IAG458650 IAG524182:IAG524186 IAG589718:IAG589722 IAG655254:IAG655258 IAG720790:IAG720794 IAG786326:IAG786330 IAG851862:IAG851866 IAG917398:IAG917402 IAG982934:IAG982938 IAK9:IAK10 IJC55:IJC56 IJC59:IJC60 IJC65430:IJC65434 IJC130966:IJC130970 IJC196502:IJC196506 IJC262038:IJC262042 IJC327574:IJC327578 IJC393110:IJC393114 IJC458646:IJC458650 IJC524182:IJC524186 IJC589718:IJC589722 IJC655254:IJC655258 IJC720790:IJC720794 IJC786326:IJC786330 IJC851862:IJC851866 IJC917398:IJC917402 IJC982934:IJC982938 IJW55:IJW56 IJW59:IJW60 IJW65430:IJW65434 IJW130966:IJW130970 IJW196502:IJW196506 IJW262038:IJW262042 IJW327574:IJW327578 IJW393110:IJW393114 IJW458646:IJW458650 IJW524182:IJW524186 IJW589718:IJW589722 IJW655254:IJW655258 IJW720790:IJW720794 IJW786326:IJW786330 IJW851862:IJW851866 IJW917398:IJW917402 IJW982934:IJW982938 IKC9:IKC10 IKC55:IKC56 IKC59:IKC60 IKC65430:IKC65434 IKC130966:IKC130970 IKC196502:IKC196506 IKC262038:IKC262042 IKC327574:IKC327578 IKC393110:IKC393114 IKC458646:IKC458650 IKC524182:IKC524186 IKC589718:IKC589722 IKC655254:IKC655258 IKC720790:IKC720794 IKC786326:IKC786330 IKC851862:IKC851866 IKC917398:IKC917402 IKC982934:IKC982938 IKG9:IKG10 ISY55:ISY56 ISY59:ISY60 ISY65430:ISY65434 ISY130966:ISY130970 ISY196502:ISY196506 ISY262038:ISY262042 ISY327574:ISY327578 ISY393110:ISY393114 ISY458646:ISY458650 ISY524182:ISY524186 ISY589718:ISY589722 ISY655254:ISY655258 ISY720790:ISY720794 ISY786326:ISY786330 ISY851862:ISY851866 ISY917398:ISY917402 ISY982934:ISY982938 ITS55:ITS56 ITS59:ITS60 ITS65430:ITS65434 ITS130966:ITS130970 ITS196502:ITS196506 ITS262038:ITS262042 ITS327574:ITS327578 ITS393110:ITS393114 ITS458646:ITS458650 ITS524182:ITS524186 ITS589718:ITS589722 ITS655254:ITS655258 ITS720790:ITS720794 ITS786326:ITS786330 ITS851862:ITS851866 ITS917398:ITS917402 ITS982934:ITS982938 ITY9:ITY10 ITY55:ITY56 ITY59:ITY60 ITY65430:ITY65434 ITY130966:ITY130970 ITY196502:ITY196506 ITY262038:ITY262042 ITY327574:ITY327578 ITY393110:ITY393114 ITY458646:ITY458650 ITY524182:ITY524186 ITY589718:ITY589722 ITY655254:ITY655258 ITY720790:ITY720794 ITY786326:ITY786330 ITY851862:ITY851866 ITY917398:ITY917402 ITY982934:ITY982938 IUC9:IUC10 JCU55:JCU56 JCU59:JCU60 JCU65430:JCU65434 JCU130966:JCU130970 JCU196502:JCU196506 JCU262038:JCU262042 JCU327574:JCU327578 JCU393110:JCU393114 JCU458646:JCU458650 JCU524182:JCU524186 JCU589718:JCU589722 JCU655254:JCU655258 JCU720790:JCU720794 JCU786326:JCU786330 JCU851862:JCU851866 JCU917398:JCU917402 JCU982934:JCU982938 JDO55:JDO56 JDO59:JDO60 JDO65430:JDO65434 JDO130966:JDO130970 JDO196502:JDO196506 JDO262038:JDO262042 JDO327574:JDO327578 JDO393110:JDO393114 JDO458646:JDO458650 JDO524182:JDO524186 JDO589718:JDO589722 JDO655254:JDO655258 JDO720790:JDO720794 JDO786326:JDO786330 JDO851862:JDO851866 JDO917398:JDO917402 JDO982934:JDO982938 JDU9:JDU10 JDU55:JDU56 JDU59:JDU60 JDU65430:JDU65434 JDU130966:JDU130970 JDU196502:JDU196506 JDU262038:JDU262042 JDU327574:JDU327578 JDU393110:JDU393114 JDU458646:JDU458650 JDU524182:JDU524186 JDU589718:JDU589722 JDU655254:JDU655258 JDU720790:JDU720794 JDU786326:JDU786330 JDU851862:JDU851866 JDU917398:JDU917402 JDU982934:JDU982938 JDY9:JDY10 JMQ55:JMQ56 JMQ59:JMQ60 JMQ65430:JMQ65434 JMQ130966:JMQ130970 JMQ196502:JMQ196506 JMQ262038:JMQ262042 JMQ327574:JMQ327578 JMQ393110:JMQ393114 JMQ458646:JMQ458650 JMQ524182:JMQ524186 JMQ589718:JMQ589722 JMQ655254:JMQ655258 JMQ720790:JMQ720794 JMQ786326:JMQ786330 JMQ851862:JMQ851866 JMQ917398:JMQ917402 JMQ982934:JMQ982938 JNK55:JNK56 JNK59:JNK60 JNK65430:JNK65434 JNK130966:JNK130970 JNK196502:JNK196506 JNK262038:JNK262042 JNK327574:JNK327578 JNK393110:JNK393114 JNK458646:JNK458650 JNK524182:JNK524186 JNK589718:JNK589722 JNK655254:JNK655258 JNK720790:JNK720794 JNK786326:JNK786330 JNK851862:JNK851866 JNK917398:JNK917402 JNK982934:JNK982938 JNQ9:JNQ10 JNQ55:JNQ56 JNQ59:JNQ60 JNQ65430:JNQ65434 JNQ130966:JNQ130970 JNQ196502:JNQ196506 JNQ262038:JNQ262042 JNQ327574:JNQ327578 JNQ393110:JNQ393114 JNQ458646:JNQ458650 JNQ524182:JNQ524186 JNQ589718:JNQ589722 JNQ655254:JNQ655258 JNQ720790:JNQ720794 JNQ786326:JNQ786330 JNQ851862:JNQ851866 JNQ917398:JNQ917402 JNQ982934:JNQ982938 JNU9:JNU10 JWM55:JWM56 JWM59:JWM60 JWM65430:JWM65434 JWM130966:JWM130970 JWM196502:JWM196506 JWM262038:JWM262042 JWM327574:JWM327578 JWM393110:JWM393114 JWM458646:JWM458650 JWM524182:JWM524186 JWM589718:JWM589722 JWM655254:JWM655258 JWM720790:JWM720794 JWM786326:JWM786330 JWM851862:JWM851866 JWM917398:JWM917402 JWM982934:JWM982938 JXG55:JXG56 JXG59:JXG60 JXG65430:JXG65434 JXG130966:JXG130970 JXG196502:JXG196506 JXG262038:JXG262042 JXG327574:JXG327578 JXG393110:JXG393114 JXG458646:JXG458650 JXG524182:JXG524186 JXG589718:JXG589722 JXG655254:JXG655258 JXG720790:JXG720794 JXG786326:JXG786330 JXG851862:JXG851866 JXG917398:JXG917402 JXG982934:JXG982938 JXM9:JXM10 JXM55:JXM56 JXM59:JXM60 JXM65430:JXM65434 JXM130966:JXM130970 JXM196502:JXM196506 JXM262038:JXM262042 JXM327574:JXM327578 JXM393110:JXM393114 JXM458646:JXM458650 JXM524182:JXM524186 JXM589718:JXM589722 JXM655254:JXM655258 JXM720790:JXM720794 JXM786326:JXM786330 JXM851862:JXM851866 JXM917398:JXM917402 JXM982934:JXM982938 JXQ9:JXQ10 KGI55:KGI56 KGI59:KGI60 KGI65430:KGI65434 KGI130966:KGI130970 KGI196502:KGI196506 KGI262038:KGI262042 KGI327574:KGI327578 KGI393110:KGI393114 KGI458646:KGI458650 KGI524182:KGI524186 KGI589718:KGI589722 KGI655254:KGI655258 KGI720790:KGI720794 KGI786326:KGI786330 KGI851862:KGI851866 KGI917398:KGI917402 KGI982934:KGI982938 KHC55:KHC56 KHC59:KHC60 KHC65430:KHC65434 KHC130966:KHC130970 KHC196502:KHC196506 KHC262038:KHC262042 KHC327574:KHC327578 KHC393110:KHC393114 KHC458646:KHC458650 KHC524182:KHC524186 KHC589718:KHC589722 KHC655254:KHC655258 KHC720790:KHC720794 KHC786326:KHC786330 KHC851862:KHC851866 KHC917398:KHC917402 KHC982934:KHC982938 KHI9:KHI10 KHI55:KHI56 KHI59:KHI60 KHI65430:KHI65434 KHI130966:KHI130970 KHI196502:KHI196506 KHI262038:KHI262042 KHI327574:KHI327578 KHI393110:KHI393114 KHI458646:KHI458650 KHI524182:KHI524186 KHI589718:KHI589722 KHI655254:KHI655258 KHI720790:KHI720794 KHI786326:KHI786330 KHI851862:KHI851866 KHI917398:KHI917402 KHI982934:KHI982938 KHM9:KHM10 KQE55:KQE56 KQE59:KQE60 KQE65430:KQE65434 KQE130966:KQE130970 KQE196502:KQE196506 KQE262038:KQE262042 KQE327574:KQE327578 KQE393110:KQE393114 KQE458646:KQE458650 KQE524182:KQE524186 KQE589718:KQE589722 KQE655254:KQE655258 KQE720790:KQE720794 KQE786326:KQE786330 KQE851862:KQE851866 KQE917398:KQE917402 KQE982934:KQE982938 KQY55:KQY56 KQY59:KQY60 KQY65430:KQY65434 KQY130966:KQY130970 KQY196502:KQY196506 KQY262038:KQY262042 KQY327574:KQY327578 KQY393110:KQY393114 KQY458646:KQY458650 KQY524182:KQY524186 KQY589718:KQY589722 KQY655254:KQY655258 KQY720790:KQY720794 KQY786326:KQY786330 KQY851862:KQY851866 KQY917398:KQY917402 KQY982934:KQY982938 KRE9:KRE10 KRE55:KRE56 KRE59:KRE60 KRE65430:KRE65434 KRE130966:KRE130970 KRE196502:KRE196506 KRE262038:KRE262042 KRE327574:KRE327578 KRE393110:KRE393114 KRE458646:KRE458650 KRE524182:KRE524186 KRE589718:KRE589722 KRE655254:KRE655258 KRE720790:KRE720794 KRE786326:KRE786330 KRE851862:KRE851866 KRE917398:KRE917402 KRE982934:KRE982938 KRI9:KRI10 LAA55:LAA56 LAA59:LAA60 LAA65430:LAA65434 LAA130966:LAA130970 LAA196502:LAA196506 LAA262038:LAA262042 LAA327574:LAA327578 LAA393110:LAA393114 LAA458646:LAA458650 LAA524182:LAA524186 LAA589718:LAA589722 LAA655254:LAA655258 LAA720790:LAA720794 LAA786326:LAA786330 LAA851862:LAA851866 LAA917398:LAA917402 LAA982934:LAA982938 LAU55:LAU56 LAU59:LAU60 LAU65430:LAU65434 LAU130966:LAU130970 LAU196502:LAU196506 LAU262038:LAU262042 LAU327574:LAU327578 LAU393110:LAU393114 LAU458646:LAU458650 LAU524182:LAU524186 LAU589718:LAU589722 LAU655254:LAU655258 LAU720790:LAU720794 LAU786326:LAU786330 LAU851862:LAU851866 LAU917398:LAU917402 LAU982934:LAU982938 LBA9:LBA10 LBA55:LBA56 LBA59:LBA60 LBA65430:LBA65434 LBA130966:LBA130970 LBA196502:LBA196506 LBA262038:LBA262042 LBA327574:LBA327578 LBA393110:LBA393114 LBA458646:LBA458650 LBA524182:LBA524186 LBA589718:LBA589722 LBA655254:LBA655258 LBA720790:LBA720794 LBA786326:LBA786330 LBA851862:LBA851866 LBA917398:LBA917402 LBA982934:LBA982938 LBE9:LBE10 LJW55:LJW56 LJW59:LJW60 LJW65430:LJW65434 LJW130966:LJW130970 LJW196502:LJW196506 LJW262038:LJW262042 LJW327574:LJW327578 LJW393110:LJW393114 LJW458646:LJW458650 LJW524182:LJW524186 LJW589718:LJW589722 LJW655254:LJW655258 LJW720790:LJW720794 LJW786326:LJW786330 LJW851862:LJW851866 LJW917398:LJW917402 LJW982934:LJW982938 LKQ55:LKQ56 LKQ59:LKQ60 LKQ65430:LKQ65434 LKQ130966:LKQ130970 LKQ196502:LKQ196506 LKQ262038:LKQ262042 LKQ327574:LKQ327578 LKQ393110:LKQ393114 LKQ458646:LKQ458650 LKQ524182:LKQ524186 LKQ589718:LKQ589722 LKQ655254:LKQ655258 LKQ720790:LKQ720794 LKQ786326:LKQ786330 LKQ851862:LKQ851866 LKQ917398:LKQ917402 LKQ982934:LKQ982938 LKW9:LKW10 LKW55:LKW56 LKW59:LKW60 LKW65430:LKW65434 LKW130966:LKW130970 LKW196502:LKW196506 LKW262038:LKW262042 LKW327574:LKW327578 LKW393110:LKW393114 LKW458646:LKW458650 LKW524182:LKW524186 LKW589718:LKW589722 LKW655254:LKW655258 LKW720790:LKW720794 LKW786326:LKW786330 LKW851862:LKW851866 LKW917398:LKW917402 LKW982934:LKW982938 LLA9:LLA10 LTS55:LTS56 LTS59:LTS60 LTS65430:LTS65434 LTS130966:LTS130970 LTS196502:LTS196506 LTS262038:LTS262042 LTS327574:LTS327578 LTS393110:LTS393114 LTS458646:LTS458650 LTS524182:LTS524186 LTS589718:LTS589722 LTS655254:LTS655258 LTS720790:LTS720794 LTS786326:LTS786330 LTS851862:LTS851866 LTS917398:LTS917402 LTS982934:LTS982938 LUM55:LUM56 LUM59:LUM60 LUM65430:LUM65434 LUM130966:LUM130970 LUM196502:LUM196506 LUM262038:LUM262042 LUM327574:LUM327578 LUM393110:LUM393114 LUM458646:LUM458650 LUM524182:LUM524186 LUM589718:LUM589722 LUM655254:LUM655258 LUM720790:LUM720794 LUM786326:LUM786330 LUM851862:LUM851866 LUM917398:LUM917402 LUM982934:LUM982938 LUS9:LUS10 LUS55:LUS56 LUS59:LUS60 LUS65430:LUS65434 LUS130966:LUS130970 LUS196502:LUS196506 LUS262038:LUS262042 LUS327574:LUS327578 LUS393110:LUS393114 LUS458646:LUS458650 LUS524182:LUS524186 LUS589718:LUS589722 LUS655254:LUS655258 LUS720790:LUS720794 LUS786326:LUS786330 LUS851862:LUS851866 LUS917398:LUS917402 LUS982934:LUS982938 LUW9:LUW10 MDO55:MDO56 MDO59:MDO60 MDO65430:MDO65434 MDO130966:MDO130970 MDO196502:MDO196506 MDO262038:MDO262042 MDO327574:MDO327578 MDO393110:MDO393114 MDO458646:MDO458650 MDO524182:MDO524186 MDO589718:MDO589722 MDO655254:MDO655258 MDO720790:MDO720794 MDO786326:MDO786330 MDO851862:MDO851866 MDO917398:MDO917402 MDO982934:MDO982938 MEI55:MEI56 MEI59:MEI60 MEI65430:MEI65434 MEI130966:MEI130970 MEI196502:MEI196506 MEI262038:MEI262042 MEI327574:MEI327578 MEI393110:MEI393114 MEI458646:MEI458650 MEI524182:MEI524186 MEI589718:MEI589722 MEI655254:MEI655258 MEI720790:MEI720794 MEI786326:MEI786330 MEI851862:MEI851866 MEI917398:MEI917402 MEI982934:MEI982938 MEO9:MEO10 MEO55:MEO56 MEO59:MEO60 MEO65430:MEO65434 MEO130966:MEO130970 MEO196502:MEO196506 MEO262038:MEO262042 MEO327574:MEO327578 MEO393110:MEO393114 MEO458646:MEO458650 MEO524182:MEO524186 MEO589718:MEO589722 MEO655254:MEO655258 MEO720790:MEO720794 MEO786326:MEO786330 MEO851862:MEO851866 MEO917398:MEO917402 MEO982934:MEO982938 MES9:MES10 MNK55:MNK56 MNK59:MNK60 MNK65430:MNK65434 MNK130966:MNK130970 MNK196502:MNK196506 MNK262038:MNK262042 MNK327574:MNK327578 MNK393110:MNK393114 MNK458646:MNK458650 MNK524182:MNK524186 MNK589718:MNK589722 MNK655254:MNK655258 MNK720790:MNK720794 MNK786326:MNK786330 MNK851862:MNK851866 MNK917398:MNK917402 MNK982934:MNK982938 MOE55:MOE56 MOE59:MOE60 MOE65430:MOE65434 MOE130966:MOE130970 MOE196502:MOE196506 MOE262038:MOE262042 MOE327574:MOE327578 MOE393110:MOE393114 MOE458646:MOE458650 MOE524182:MOE524186 MOE589718:MOE589722 MOE655254:MOE655258 MOE720790:MOE720794 MOE786326:MOE786330 MOE851862:MOE851866 MOE917398:MOE917402 MOE982934:MOE982938 MOK9:MOK10 MOK55:MOK56 MOK59:MOK60 MOK65430:MOK65434 MOK130966:MOK130970 MOK196502:MOK196506 MOK262038:MOK262042 MOK327574:MOK327578 MOK393110:MOK393114 MOK458646:MOK458650 MOK524182:MOK524186 MOK589718:MOK589722 MOK655254:MOK655258 MOK720790:MOK720794 MOK786326:MOK786330 MOK851862:MOK851866 MOK917398:MOK917402 MOK982934:MOK982938 MOO9:MOO10 MXG55:MXG56 MXG59:MXG60 MXG65430:MXG65434 MXG130966:MXG130970 MXG196502:MXG196506 MXG262038:MXG262042 MXG327574:MXG327578 MXG393110:MXG393114 MXG458646:MXG458650 MXG524182:MXG524186 MXG589718:MXG589722 MXG655254:MXG655258 MXG720790:MXG720794 MXG786326:MXG786330 MXG851862:MXG851866 MXG917398:MXG917402 MXG982934:MXG982938 MYA55:MYA56 MYA59:MYA60 MYA65430:MYA65434 MYA130966:MYA130970 MYA196502:MYA196506 MYA262038:MYA262042 MYA327574:MYA327578 MYA393110:MYA393114 MYA458646:MYA458650 MYA524182:MYA524186 MYA589718:MYA589722 MYA655254:MYA655258 MYA720790:MYA720794 MYA786326:MYA786330 MYA851862:MYA851866 MYA917398:MYA917402 MYA982934:MYA982938 MYG9:MYG10 MYG55:MYG56 MYG59:MYG60 MYG65430:MYG65434 MYG130966:MYG130970 MYG196502:MYG196506 MYG262038:MYG262042 MYG327574:MYG327578 MYG393110:MYG393114 MYG458646:MYG458650 MYG524182:MYG524186 MYG589718:MYG589722 MYG655254:MYG655258 MYG720790:MYG720794 MYG786326:MYG786330 MYG851862:MYG851866 MYG917398:MYG917402 MYG982934:MYG982938 MYK9:MYK10 NHC55:NHC56 NHC59:NHC60 NHC65430:NHC65434 NHC130966:NHC130970 NHC196502:NHC196506 NHC262038:NHC262042 NHC327574:NHC327578 NHC393110:NHC393114 NHC458646:NHC458650 NHC524182:NHC524186 NHC589718:NHC589722 NHC655254:NHC655258 NHC720790:NHC720794 NHC786326:NHC786330 NHC851862:NHC851866 NHC917398:NHC917402 NHC982934:NHC982938 NHW55:NHW56 NHW59:NHW60 NHW65430:NHW65434 NHW130966:NHW130970 NHW196502:NHW196506 NHW262038:NHW262042 NHW327574:NHW327578 NHW393110:NHW393114 NHW458646:NHW458650 NHW524182:NHW524186 NHW589718:NHW589722 NHW655254:NHW655258 NHW720790:NHW720794 NHW786326:NHW786330 NHW851862:NHW851866 NHW917398:NHW917402 NHW982934:NHW982938 NIC9:NIC10 NIC55:NIC56 NIC59:NIC60 NIC65430:NIC65434 NIC130966:NIC130970 NIC196502:NIC196506 NIC262038:NIC262042 NIC327574:NIC327578 NIC393110:NIC393114 NIC458646:NIC458650 NIC524182:NIC524186 NIC589718:NIC589722 NIC655254:NIC655258 NIC720790:NIC720794 NIC786326:NIC786330 NIC851862:NIC851866 NIC917398:NIC917402 NIC982934:NIC982938 NIG9:NIG10 NQY55:NQY56 NQY59:NQY60 NQY65430:NQY65434 NQY130966:NQY130970 NQY196502:NQY196506 NQY262038:NQY262042 NQY327574:NQY327578 NQY393110:NQY393114 NQY458646:NQY458650 NQY524182:NQY524186 NQY589718:NQY589722 NQY655254:NQY655258 NQY720790:NQY720794 NQY786326:NQY786330 NQY851862:NQY851866 NQY917398:NQY917402 NQY982934:NQY982938 NRS55:NRS56 NRS59:NRS60 NRS65430:NRS65434 NRS130966:NRS130970 NRS196502:NRS196506 NRS262038:NRS262042 NRS327574:NRS327578 NRS393110:NRS393114 NRS458646:NRS458650 NRS524182:NRS524186 NRS589718:NRS589722 NRS655254:NRS655258 NRS720790:NRS720794 NRS786326:NRS786330 NRS851862:NRS851866 NRS917398:NRS917402 NRS982934:NRS982938 NRY9:NRY10 NRY55:NRY56 NRY59:NRY60 NRY65430:NRY65434 NRY130966:NRY130970 NRY196502:NRY196506 NRY262038:NRY262042 NRY327574:NRY327578 NRY393110:NRY393114 NRY458646:NRY458650 NRY524182:NRY524186 NRY589718:NRY589722 NRY655254:NRY655258 NRY720790:NRY720794 NRY786326:NRY786330 NRY851862:NRY851866 NRY917398:NRY917402 NRY982934:NRY982938 NSC9:NSC10 OAU55:OAU56 OAU59:OAU60 OAU65430:OAU65434 OAU130966:OAU130970 OAU196502:OAU196506 OAU262038:OAU262042 OAU327574:OAU327578 OAU393110:OAU393114 OAU458646:OAU458650 OAU524182:OAU524186 OAU589718:OAU589722 OAU655254:OAU655258 OAU720790:OAU720794 OAU786326:OAU786330 OAU851862:OAU851866 OAU917398:OAU917402 OAU982934:OAU982938 OBO55:OBO56 OBO59:OBO60 OBO65430:OBO65434 OBO130966:OBO130970 OBO196502:OBO196506 OBO262038:OBO262042 OBO327574:OBO327578 OBO393110:OBO393114 OBO458646:OBO458650 OBO524182:OBO524186 OBO589718:OBO589722 OBO655254:OBO655258 OBO720790:OBO720794 OBO786326:OBO786330 OBO851862:OBO851866 OBO917398:OBO917402 OBO982934:OBO982938 OBU9:OBU10 OBU55:OBU56 OBU59:OBU60 OBU65430:OBU65434 OBU130966:OBU130970 OBU196502:OBU196506 OBU262038:OBU262042 OBU327574:OBU327578 OBU393110:OBU393114 OBU458646:OBU458650 OBU524182:OBU524186 OBU589718:OBU589722 OBU655254:OBU655258 OBU720790:OBU720794 OBU786326:OBU786330 OBU851862:OBU851866 OBU917398:OBU917402 OBU982934:OBU982938 OBY9:OBY10 OKQ55:OKQ56 OKQ59:OKQ60 OKQ65430:OKQ65434 OKQ130966:OKQ130970 OKQ196502:OKQ196506 OKQ262038:OKQ262042 OKQ327574:OKQ327578 OKQ393110:OKQ393114 OKQ458646:OKQ458650 OKQ524182:OKQ524186 OKQ589718:OKQ589722 OKQ655254:OKQ655258 OKQ720790:OKQ720794 OKQ786326:OKQ786330 OKQ851862:OKQ851866 OKQ917398:OKQ917402 OKQ982934:OKQ982938 OLK55:OLK56 OLK59:OLK60 OLK65430:OLK65434 OLK130966:OLK130970 OLK196502:OLK196506 OLK262038:OLK262042 OLK327574:OLK327578 OLK393110:OLK393114 OLK458646:OLK458650 OLK524182:OLK524186 OLK589718:OLK589722 OLK655254:OLK655258 OLK720790:OLK720794 OLK786326:OLK786330 OLK851862:OLK851866 OLK917398:OLK917402 OLK982934:OLK982938 OLQ9:OLQ10 OLQ55:OLQ56 OLQ59:OLQ60 OLQ65430:OLQ65434 OLQ130966:OLQ130970 OLQ196502:OLQ196506 OLQ262038:OLQ262042 OLQ327574:OLQ327578 OLQ393110:OLQ393114 OLQ458646:OLQ458650 OLQ524182:OLQ524186 OLQ589718:OLQ589722 OLQ655254:OLQ655258 OLQ720790:OLQ720794 OLQ786326:OLQ786330 OLQ851862:OLQ851866 OLQ917398:OLQ917402 OLQ982934:OLQ982938 OLU9:OLU10 OUM55:OUM56 OUM59:OUM60 OUM65430:OUM65434 OUM130966:OUM130970 OUM196502:OUM196506 OUM262038:OUM262042 OUM327574:OUM327578 OUM393110:OUM393114 OUM458646:OUM458650 OUM524182:OUM524186 OUM589718:OUM589722 OUM655254:OUM655258 OUM720790:OUM720794 OUM786326:OUM786330 OUM851862:OUM851866 OUM917398:OUM917402 OUM982934:OUM982938 OVG55:OVG56 OVG59:OVG60 OVG65430:OVG65434 OVG130966:OVG130970 OVG196502:OVG196506 OVG262038:OVG262042 OVG327574:OVG327578 OVG393110:OVG393114 OVG458646:OVG458650 OVG524182:OVG524186 OVG589718:OVG589722 OVG655254:OVG655258 OVG720790:OVG720794 OVG786326:OVG786330 OVG851862:OVG851866 OVG917398:OVG917402 OVG982934:OVG982938 OVM9:OVM10 OVM55:OVM56 OVM59:OVM60 OVM65430:OVM65434 OVM130966:OVM130970 OVM196502:OVM196506 OVM262038:OVM262042 OVM327574:OVM327578 OVM393110:OVM393114 OVM458646:OVM458650 OVM524182:OVM524186 OVM589718:OVM589722 OVM655254:OVM655258 OVM720790:OVM720794 OVM786326:OVM786330 OVM851862:OVM851866 OVM917398:OVM917402 OVM982934:OVM982938 OVQ9:OVQ10 PEI55:PEI56 PEI59:PEI60 PEI65430:PEI65434 PEI130966:PEI130970 PEI196502:PEI196506 PEI262038:PEI262042 PEI327574:PEI327578 PEI393110:PEI393114 PEI458646:PEI458650 PEI524182:PEI524186 PEI589718:PEI589722 PEI655254:PEI655258 PEI720790:PEI720794 PEI786326:PEI786330 PEI851862:PEI851866 PEI917398:PEI917402 PEI982934:PEI982938 PFC55:PFC56 PFC59:PFC60 PFC65430:PFC65434 PFC130966:PFC130970 PFC196502:PFC196506 PFC262038:PFC262042 PFC327574:PFC327578 PFC393110:PFC393114 PFC458646:PFC458650 PFC524182:PFC524186 PFC589718:PFC589722 PFC655254:PFC655258 PFC720790:PFC720794 PFC786326:PFC786330 PFC851862:PFC851866 PFC917398:PFC917402 PFC982934:PFC982938 PFI9:PFI10 PFI55:PFI56 PFI59:PFI60 PFI65430:PFI65434 PFI130966:PFI130970 PFI196502:PFI196506 PFI262038:PFI262042 PFI327574:PFI327578 PFI393110:PFI393114 PFI458646:PFI458650 PFI524182:PFI524186 PFI589718:PFI589722 PFI655254:PFI655258 PFI720790:PFI720794 PFI786326:PFI786330 PFI851862:PFI851866 PFI917398:PFI917402 PFI982934:PFI982938 PFM9:PFM10 POE55:POE56 POE59:POE60 POE65430:POE65434 POE130966:POE130970 POE196502:POE196506 POE262038:POE262042 POE327574:POE327578 POE393110:POE393114 POE458646:POE458650 POE524182:POE524186 POE589718:POE589722 POE655254:POE655258 POE720790:POE720794 POE786326:POE786330 POE851862:POE851866 POE917398:POE917402 POE982934:POE982938 POY55:POY56 POY59:POY60 POY65430:POY65434 POY130966:POY130970 POY196502:POY196506 POY262038:POY262042 POY327574:POY327578 POY393110:POY393114 POY458646:POY458650 POY524182:POY524186 POY589718:POY589722 POY655254:POY655258 POY720790:POY720794 POY786326:POY786330 POY851862:POY851866 POY917398:POY917402 POY982934:POY982938 PPE9:PPE10 PPE55:PPE56 PPE59:PPE60 PPE65430:PPE65434 PPE130966:PPE130970 PPE196502:PPE196506 PPE262038:PPE262042 PPE327574:PPE327578 PPE393110:PPE393114 PPE458646:PPE458650 PPE524182:PPE524186 PPE589718:PPE589722 PPE655254:PPE655258 PPE720790:PPE720794 PPE786326:PPE786330 PPE851862:PPE851866 PPE917398:PPE917402 PPE982934:PPE982938 PPI9:PPI10 PYA55:PYA56 PYA59:PYA60 PYA65430:PYA65434 PYA130966:PYA130970 PYA196502:PYA196506 PYA262038:PYA262042 PYA327574:PYA327578 PYA393110:PYA393114 PYA458646:PYA458650 PYA524182:PYA524186 PYA589718:PYA589722 PYA655254:PYA655258 PYA720790:PYA720794 PYA786326:PYA786330 PYA851862:PYA851866 PYA917398:PYA917402 PYA982934:PYA982938 PYU55:PYU56 PYU59:PYU60 PYU65430:PYU65434 PYU130966:PYU130970 PYU196502:PYU196506 PYU262038:PYU262042 PYU327574:PYU327578 PYU393110:PYU393114 PYU458646:PYU458650 PYU524182:PYU524186 PYU589718:PYU589722 PYU655254:PYU655258 PYU720790:PYU720794 PYU786326:PYU786330 PYU851862:PYU851866 PYU917398:PYU917402 PYU982934:PYU982938 PZA9:PZA10 PZA55:PZA56 PZA59:PZA60 PZA65430:PZA65434 PZA130966:PZA130970 PZA196502:PZA196506 PZA262038:PZA262042 PZA327574:PZA327578 PZA393110:PZA393114 PZA458646:PZA458650 PZA524182:PZA524186 PZA589718:PZA589722 PZA655254:PZA655258 PZA720790:PZA720794 PZA786326:PZA786330 PZA851862:PZA851866 PZA917398:PZA917402 PZA982934:PZA982938 PZE9:PZE10 QHW55:QHW56 QHW59:QHW60 QHW65430:QHW65434 QHW130966:QHW130970 QHW196502:QHW196506 QHW262038:QHW262042 QHW327574:QHW327578 QHW393110:QHW393114 QHW458646:QHW458650 QHW524182:QHW524186 QHW589718:QHW589722 QHW655254:QHW655258 QHW720790:QHW720794 QHW786326:QHW786330 QHW851862:QHW851866 QHW917398:QHW917402 QHW982934:QHW982938 QIQ55:QIQ56 QIQ59:QIQ60 QIQ65430:QIQ65434 QIQ130966:QIQ130970 QIQ196502:QIQ196506 QIQ262038:QIQ262042 QIQ327574:QIQ327578 QIQ393110:QIQ393114 QIQ458646:QIQ458650 QIQ524182:QIQ524186 QIQ589718:QIQ589722 QIQ655254:QIQ655258 QIQ720790:QIQ720794 QIQ786326:QIQ786330 QIQ851862:QIQ851866 QIQ917398:QIQ917402 QIQ982934:QIQ982938 QIW9:QIW10 QIW55:QIW56 QIW59:QIW60 QIW65430:QIW65434 QIW130966:QIW130970 QIW196502:QIW196506 QIW262038:QIW262042 QIW327574:QIW327578 QIW393110:QIW393114 QIW458646:QIW458650 QIW524182:QIW524186 QIW589718:QIW589722 QIW655254:QIW655258 QIW720790:QIW720794 QIW786326:QIW786330 QIW851862:QIW851866 QIW917398:QIW917402 QIW982934:QIW982938 QJA9:QJA10 QRS55:QRS56 QRS59:QRS60 QRS65430:QRS65434 QRS130966:QRS130970 QRS196502:QRS196506 QRS262038:QRS262042 QRS327574:QRS327578 QRS393110:QRS393114 QRS458646:QRS458650 QRS524182:QRS524186 QRS589718:QRS589722 QRS655254:QRS655258 QRS720790:QRS720794 QRS786326:QRS786330 QRS851862:QRS851866 QRS917398:QRS917402 QRS982934:QRS982938 QSM55:QSM56 QSM59:QSM60 QSM65430:QSM65434 QSM130966:QSM130970 QSM196502:QSM196506 QSM262038:QSM262042 QSM327574:QSM327578 QSM393110:QSM393114 QSM458646:QSM458650 QSM524182:QSM524186 QSM589718:QSM589722 QSM655254:QSM655258 QSM720790:QSM720794 QSM786326:QSM786330 QSM851862:QSM851866 QSM917398:QSM917402 QSM982934:QSM982938 QSS9:QSS10 QSS55:QSS56 QSS59:QSS60 QSS65430:QSS65434 QSS130966:QSS130970 QSS196502:QSS196506 QSS262038:QSS262042 QSS327574:QSS327578 QSS393110:QSS393114 QSS458646:QSS458650 QSS524182:QSS524186 QSS589718:QSS589722 QSS655254:QSS655258 QSS720790:QSS720794 QSS786326:QSS786330 QSS851862:QSS851866 QSS917398:QSS917402 QSS982934:QSS982938 QSW9:QSW10 RBO55:RBO56 RBO59:RBO60 RBO65430:RBO65434 RBO130966:RBO130970 RBO196502:RBO196506 RBO262038:RBO262042 RBO327574:RBO327578 RBO393110:RBO393114 RBO458646:RBO458650 RBO524182:RBO524186 RBO589718:RBO589722 RBO655254:RBO655258 RBO720790:RBO720794 RBO786326:RBO786330 RBO851862:RBO851866 RBO917398:RBO917402 RBO982934:RBO982938 RCI55:RCI56 RCI59:RCI60 RCI65430:RCI65434 RCI130966:RCI130970 RCI196502:RCI196506 RCI262038:RCI262042 RCI327574:RCI327578 RCI393110:RCI393114 RCI458646:RCI458650 RCI524182:RCI524186 RCI589718:RCI589722 RCI655254:RCI655258 RCI720790:RCI720794 RCI786326:RCI786330 RCI851862:RCI851866 RCI917398:RCI917402 RCI982934:RCI982938 RCO9:RCO10 RCO55:RCO56 RCO59:RCO60 RCO65430:RCO65434 RCO130966:RCO130970 RCO196502:RCO196506 RCO262038:RCO262042 RCO327574:RCO327578 RCO393110:RCO393114 RCO458646:RCO458650 RCO524182:RCO524186 RCO589718:RCO589722 RCO655254:RCO655258 RCO720790:RCO720794 RCO786326:RCO786330 RCO851862:RCO851866 RCO917398:RCO917402 RCO982934:RCO982938 RCS9:RCS10 RLK55:RLK56 RLK59:RLK60 RLK65430:RLK65434 RLK130966:RLK130970 RLK196502:RLK196506 RLK262038:RLK262042 RLK327574:RLK327578 RLK393110:RLK393114 RLK458646:RLK458650 RLK524182:RLK524186 RLK589718:RLK589722 RLK655254:RLK655258 RLK720790:RLK720794 RLK786326:RLK786330 RLK851862:RLK851866 RLK917398:RLK917402 RLK982934:RLK982938 RME55:RME56 RME59:RME60 RME65430:RME65434 RME130966:RME130970 RME196502:RME196506 RME262038:RME262042 RME327574:RME327578 RME393110:RME393114 RME458646:RME458650 RME524182:RME524186 RME589718:RME589722 RME655254:RME655258 RME720790:RME720794 RME786326:RME786330 RME851862:RME851866 RME917398:RME917402 RME982934:RME982938 RMK9:RMK10 RMK55:RMK56 RMK59:RMK60 RMK65430:RMK65434 RMK130966:RMK130970 RMK196502:RMK196506 RMK262038:RMK262042 RMK327574:RMK327578 RMK393110:RMK393114 RMK458646:RMK458650 RMK524182:RMK524186 RMK589718:RMK589722 RMK655254:RMK655258 RMK720790:RMK720794 RMK786326:RMK786330 RMK851862:RMK851866 RMK917398:RMK917402 RMK982934:RMK982938 RMO9:RMO10 RVG55:RVG56 RVG59:RVG60 RVG65430:RVG65434 RVG130966:RVG130970 RVG196502:RVG196506 RVG262038:RVG262042 RVG327574:RVG327578 RVG393110:RVG393114 RVG458646:RVG458650 RVG524182:RVG524186 RVG589718:RVG589722 RVG655254:RVG655258 RVG720790:RVG720794 RVG786326:RVG786330 RVG851862:RVG851866 RVG917398:RVG917402 RVG982934:RVG982938 RWA55:RWA56 RWA59:RWA60 RWA65430:RWA65434 RWA130966:RWA130970 RWA196502:RWA196506 RWA262038:RWA262042 RWA327574:RWA327578 RWA393110:RWA393114 RWA458646:RWA458650 RWA524182:RWA524186 RWA589718:RWA589722 RWA655254:RWA655258 RWA720790:RWA720794 RWA786326:RWA786330 RWA851862:RWA851866 RWA917398:RWA917402 RWA982934:RWA982938 RWG9:RWG10 RWG55:RWG56 RWG59:RWG60 RWG65430:RWG65434 RWG130966:RWG130970 RWG196502:RWG196506 RWG262038:RWG262042 RWG327574:RWG327578 RWG393110:RWG393114 RWG458646:RWG458650 RWG524182:RWG524186 RWG589718:RWG589722 RWG655254:RWG655258 RWG720790:RWG720794 RWG786326:RWG786330 RWG851862:RWG851866 RWG917398:RWG917402 RWG982934:RWG982938 RWK9:RWK10 SFC55:SFC56 SFC59:SFC60 SFC65430:SFC65434 SFC130966:SFC130970 SFC196502:SFC196506 SFC262038:SFC262042 SFC327574:SFC327578 SFC393110:SFC393114 SFC458646:SFC458650 SFC524182:SFC524186 SFC589718:SFC589722 SFC655254:SFC655258 SFC720790:SFC720794 SFC786326:SFC786330 SFC851862:SFC851866 SFC917398:SFC917402 SFC982934:SFC982938 SFW55:SFW56 SFW59:SFW60 SFW65430:SFW65434 SFW130966:SFW130970 SFW196502:SFW196506 SFW262038:SFW262042 SFW327574:SFW327578 SFW393110:SFW393114 SFW458646:SFW458650 SFW524182:SFW524186 SFW589718:SFW589722 SFW655254:SFW655258 SFW720790:SFW720794 SFW786326:SFW786330 SFW851862:SFW851866 SFW917398:SFW917402 SFW982934:SFW982938 SGC9:SGC10 SGC55:SGC56 SGC59:SGC60 SGC65430:SGC65434 SGC130966:SGC130970 SGC196502:SGC196506 SGC262038:SGC262042 SGC327574:SGC327578 SGC393110:SGC393114 SGC458646:SGC458650 SGC524182:SGC524186 SGC589718:SGC589722 SGC655254:SGC655258 SGC720790:SGC720794 SGC786326:SGC786330 SGC851862:SGC851866 SGC917398:SGC917402 SGC982934:SGC982938 SGG9:SGG10 SOY55:SOY56 SOY59:SOY60 SOY65430:SOY65434 SOY130966:SOY130970 SOY196502:SOY196506 SOY262038:SOY262042 SOY327574:SOY327578 SOY393110:SOY393114 SOY458646:SOY458650 SOY524182:SOY524186 SOY589718:SOY589722 SOY655254:SOY655258 SOY720790:SOY720794 SOY786326:SOY786330 SOY851862:SOY851866 SOY917398:SOY917402 SOY982934:SOY982938 SPS55:SPS56 SPS59:SPS60 SPS65430:SPS65434 SPS130966:SPS130970 SPS196502:SPS196506 SPS262038:SPS262042 SPS327574:SPS327578 SPS393110:SPS393114 SPS458646:SPS458650 SPS524182:SPS524186 SPS589718:SPS589722 SPS655254:SPS655258 SPS720790:SPS720794 SPS786326:SPS786330 SPS851862:SPS851866 SPS917398:SPS917402 SPS982934:SPS982938 SPY9:SPY10 SPY55:SPY56 SPY59:SPY60 SPY65430:SPY65434 SPY130966:SPY130970 SPY196502:SPY196506 SPY262038:SPY262042 SPY327574:SPY327578 SPY393110:SPY393114 SPY458646:SPY458650 SPY524182:SPY524186 SPY589718:SPY589722 SPY655254:SPY655258 SPY720790:SPY720794 SPY786326:SPY786330 SPY851862:SPY851866 SPY917398:SPY917402 SPY982934:SPY982938 SQC9:SQC10 SYU55:SYU56 SYU59:SYU60 SYU65430:SYU65434 SYU130966:SYU130970 SYU196502:SYU196506 SYU262038:SYU262042 SYU327574:SYU327578 SYU393110:SYU393114 SYU458646:SYU458650 SYU524182:SYU524186 SYU589718:SYU589722 SYU655254:SYU655258 SYU720790:SYU720794 SYU786326:SYU786330 SYU851862:SYU851866 SYU917398:SYU917402 SYU982934:SYU982938 SZO55:SZO56 SZO59:SZO60 SZO65430:SZO65434 SZO130966:SZO130970 SZO196502:SZO196506 SZO262038:SZO262042 SZO327574:SZO327578 SZO393110:SZO393114 SZO458646:SZO458650 SZO524182:SZO524186 SZO589718:SZO589722 SZO655254:SZO655258 SZO720790:SZO720794 SZO786326:SZO786330 SZO851862:SZO851866 SZO917398:SZO917402 SZO982934:SZO982938 SZU9:SZU10 SZU55:SZU56 SZU59:SZU60 SZU65430:SZU65434 SZU130966:SZU130970 SZU196502:SZU196506 SZU262038:SZU262042 SZU327574:SZU327578 SZU393110:SZU393114 SZU458646:SZU458650 SZU524182:SZU524186 SZU589718:SZU589722 SZU655254:SZU655258 SZU720790:SZU720794 SZU786326:SZU786330 SZU851862:SZU851866 SZU917398:SZU917402 SZU982934:SZU982938 SZY9:SZY10 TIQ55:TIQ56 TIQ59:TIQ60 TIQ65430:TIQ65434 TIQ130966:TIQ130970 TIQ196502:TIQ196506 TIQ262038:TIQ262042 TIQ327574:TIQ327578 TIQ393110:TIQ393114 TIQ458646:TIQ458650 TIQ524182:TIQ524186 TIQ589718:TIQ589722 TIQ655254:TIQ655258 TIQ720790:TIQ720794 TIQ786326:TIQ786330 TIQ851862:TIQ851866 TIQ917398:TIQ917402 TIQ982934:TIQ982938 TJK55:TJK56 TJK59:TJK60 TJK65430:TJK65434 TJK130966:TJK130970 TJK196502:TJK196506 TJK262038:TJK262042 TJK327574:TJK327578 TJK393110:TJK393114 TJK458646:TJK458650 TJK524182:TJK524186 TJK589718:TJK589722 TJK655254:TJK655258 TJK720790:TJK720794 TJK786326:TJK786330 TJK851862:TJK851866 TJK917398:TJK917402 TJK982934:TJK982938 TJQ9:TJQ10 TJQ55:TJQ56 TJQ59:TJQ60 TJQ65430:TJQ65434 TJQ130966:TJQ130970 TJQ196502:TJQ196506 TJQ262038:TJQ262042 TJQ327574:TJQ327578 TJQ393110:TJQ393114 TJQ458646:TJQ458650 TJQ524182:TJQ524186 TJQ589718:TJQ589722 TJQ655254:TJQ655258 TJQ720790:TJQ720794 TJQ786326:TJQ786330 TJQ851862:TJQ851866 TJQ917398:TJQ917402 TJQ982934:TJQ982938 TJU9:TJU10 TSM55:TSM56 TSM59:TSM60 TSM65430:TSM65434 TSM130966:TSM130970 TSM196502:TSM196506 TSM262038:TSM262042 TSM327574:TSM327578 TSM393110:TSM393114 TSM458646:TSM458650 TSM524182:TSM524186 TSM589718:TSM589722 TSM655254:TSM655258 TSM720790:TSM720794 TSM786326:TSM786330 TSM851862:TSM851866 TSM917398:TSM917402 TSM982934:TSM982938 TTG55:TTG56 TTG59:TTG60 TTG65430:TTG65434 TTG130966:TTG130970 TTG196502:TTG196506 TTG262038:TTG262042 TTG327574:TTG327578 TTG393110:TTG393114 TTG458646:TTG458650 TTG524182:TTG524186 TTG589718:TTG589722 TTG655254:TTG655258 TTG720790:TTG720794 TTG786326:TTG786330 TTG851862:TTG851866 TTG917398:TTG917402 TTG982934:TTG982938 TTM9:TTM10 TTM55:TTM56 TTM59:TTM60 TTM65430:TTM65434 TTM130966:TTM130970 TTM196502:TTM196506 TTM262038:TTM262042 TTM327574:TTM327578 TTM393110:TTM393114 TTM458646:TTM458650 TTM524182:TTM524186 TTM589718:TTM589722 TTM655254:TTM655258 TTM720790:TTM720794 TTM786326:TTM786330 TTM851862:TTM851866 TTM917398:TTM917402 TTM982934:TTM982938 TTQ9:TTQ10 UCI55:UCI56 UCI59:UCI60 UCI65430:UCI65434 UCI130966:UCI130970 UCI196502:UCI196506 UCI262038:UCI262042 UCI327574:UCI327578 UCI393110:UCI393114 UCI458646:UCI458650 UCI524182:UCI524186 UCI589718:UCI589722 UCI655254:UCI655258 UCI720790:UCI720794 UCI786326:UCI786330 UCI851862:UCI851866 UCI917398:UCI917402 UCI982934:UCI982938 UDC55:UDC56 UDC59:UDC60 UDC65430:UDC65434 UDC130966:UDC130970 UDC196502:UDC196506 UDC262038:UDC262042 UDC327574:UDC327578 UDC393110:UDC393114 UDC458646:UDC458650 UDC524182:UDC524186 UDC589718:UDC589722 UDC655254:UDC655258 UDC720790:UDC720794 UDC786326:UDC786330 UDC851862:UDC851866 UDC917398:UDC917402 UDC982934:UDC982938 UDI9:UDI10 UDI55:UDI56 UDI59:UDI60 UDI65430:UDI65434 UDI130966:UDI130970 UDI196502:UDI196506 UDI262038:UDI262042 UDI327574:UDI327578 UDI393110:UDI393114 UDI458646:UDI458650 UDI524182:UDI524186 UDI589718:UDI589722 UDI655254:UDI655258 UDI720790:UDI720794 UDI786326:UDI786330 UDI851862:UDI851866 UDI917398:UDI917402 UDI982934:UDI982938 UDM9:UDM10 UME55:UME56 UME59:UME60 UME65430:UME65434 UME130966:UME130970 UME196502:UME196506 UME262038:UME262042 UME327574:UME327578 UME393110:UME393114 UME458646:UME458650 UME524182:UME524186 UME589718:UME589722 UME655254:UME655258 UME720790:UME720794 UME786326:UME786330 UME851862:UME851866 UME917398:UME917402 UME982934:UME982938 UMY55:UMY56 UMY59:UMY60 UMY65430:UMY65434 UMY130966:UMY130970 UMY196502:UMY196506 UMY262038:UMY262042 UMY327574:UMY327578 UMY393110:UMY393114 UMY458646:UMY458650 UMY524182:UMY524186 UMY589718:UMY589722 UMY655254:UMY655258 UMY720790:UMY720794 UMY786326:UMY786330 UMY851862:UMY851866 UMY917398:UMY917402 UMY982934:UMY982938 UNE9:UNE10 UNE55:UNE56 UNE59:UNE60 UNE65430:UNE65434 UNE130966:UNE130970 UNE196502:UNE196506 UNE262038:UNE262042 UNE327574:UNE327578 UNE393110:UNE393114 UNE458646:UNE458650 UNE524182:UNE524186 UNE589718:UNE589722 UNE655254:UNE655258 UNE720790:UNE720794 UNE786326:UNE786330 UNE851862:UNE851866 UNE917398:UNE917402 UNE982934:UNE982938 UNI9:UNI10 UWA55:UWA56 UWA59:UWA60 UWA65430:UWA65434 UWA130966:UWA130970 UWA196502:UWA196506 UWA262038:UWA262042 UWA327574:UWA327578 UWA393110:UWA393114 UWA458646:UWA458650 UWA524182:UWA524186 UWA589718:UWA589722 UWA655254:UWA655258 UWA720790:UWA720794 UWA786326:UWA786330 UWA851862:UWA851866 UWA917398:UWA917402 UWA982934:UWA982938 UWU55:UWU56 UWU59:UWU60 UWU65430:UWU65434 UWU130966:UWU130970 UWU196502:UWU196506 UWU262038:UWU262042 UWU327574:UWU327578 UWU393110:UWU393114 UWU458646:UWU458650 UWU524182:UWU524186 UWU589718:UWU589722 UWU655254:UWU655258 UWU720790:UWU720794 UWU786326:UWU786330 UWU851862:UWU851866 UWU917398:UWU917402 UWU982934:UWU982938 UXA9:UXA10 UXA55:UXA56 UXA59:UXA60 UXA65430:UXA65434 UXA130966:UXA130970 UXA196502:UXA196506 UXA262038:UXA262042 UXA327574:UXA327578 UXA393110:UXA393114 UXA458646:UXA458650 UXA524182:UXA524186 UXA589718:UXA589722 UXA655254:UXA655258 UXA720790:UXA720794 UXA786326:UXA786330 UXA851862:UXA851866 UXA917398:UXA917402 UXA982934:UXA982938 UXE9:UXE10 VFW55:VFW56 VFW59:VFW60 VFW65430:VFW65434 VFW130966:VFW130970 VFW196502:VFW196506 VFW262038:VFW262042 VFW327574:VFW327578 VFW393110:VFW393114 VFW458646:VFW458650 VFW524182:VFW524186 VFW589718:VFW589722 VFW655254:VFW655258 VFW720790:VFW720794 VFW786326:VFW786330 VFW851862:VFW851866 VFW917398:VFW917402 VFW982934:VFW982938 VGQ55:VGQ56 VGQ59:VGQ60 VGQ65430:VGQ65434 VGQ130966:VGQ130970 VGQ196502:VGQ196506 VGQ262038:VGQ262042 VGQ327574:VGQ327578 VGQ393110:VGQ393114 VGQ458646:VGQ458650 VGQ524182:VGQ524186 VGQ589718:VGQ589722 VGQ655254:VGQ655258 VGQ720790:VGQ720794 VGQ786326:VGQ786330 VGQ851862:VGQ851866 VGQ917398:VGQ917402 VGQ982934:VGQ982938 VGW9:VGW10 VGW55:VGW56 VGW59:VGW60 VGW65430:VGW65434 VGW130966:VGW130970 VGW196502:VGW196506 VGW262038:VGW262042 VGW327574:VGW327578 VGW393110:VGW393114 VGW458646:VGW458650 VGW524182:VGW524186 VGW589718:VGW589722 VGW655254:VGW655258 VGW720790:VGW720794 VGW786326:VGW786330 VGW851862:VGW851866 VGW917398:VGW917402 VGW982934:VGW982938 VHA9:VHA10 VPS55:VPS56 VPS59:VPS60 VPS65430:VPS65434 VPS130966:VPS130970 VPS196502:VPS196506 VPS262038:VPS262042 VPS327574:VPS327578 VPS393110:VPS393114 VPS458646:VPS458650 VPS524182:VPS524186 VPS589718:VPS589722 VPS655254:VPS655258 VPS720790:VPS720794 VPS786326:VPS786330 VPS851862:VPS851866 VPS917398:VPS917402 VPS982934:VPS982938 VQM55:VQM56 VQM59:VQM60 VQM65430:VQM65434 VQM130966:VQM130970 VQM196502:VQM196506 VQM262038:VQM262042 VQM327574:VQM327578 VQM393110:VQM393114 VQM458646:VQM458650 VQM524182:VQM524186 VQM589718:VQM589722 VQM655254:VQM655258 VQM720790:VQM720794 VQM786326:VQM786330 VQM851862:VQM851866 VQM917398:VQM917402 VQM982934:VQM982938 VQS9:VQS10 VQS55:VQS56 VQS59:VQS60 VQS65430:VQS65434 VQS130966:VQS130970 VQS196502:VQS196506 VQS262038:VQS262042 VQS327574:VQS327578 VQS393110:VQS393114 VQS458646:VQS458650 VQS524182:VQS524186 VQS589718:VQS589722 VQS655254:VQS655258 VQS720790:VQS720794 VQS786326:VQS786330 VQS851862:VQS851866 VQS917398:VQS917402 VQS982934:VQS982938 VQW9:VQW10 VZO55:VZO56 VZO59:VZO60 VZO65430:VZO65434 VZO130966:VZO130970 VZO196502:VZO196506 VZO262038:VZO262042 VZO327574:VZO327578 VZO393110:VZO393114 VZO458646:VZO458650 VZO524182:VZO524186 VZO589718:VZO589722 VZO655254:VZO655258 VZO720790:VZO720794 VZO786326:VZO786330 VZO851862:VZO851866 VZO917398:VZO917402 VZO982934:VZO982938 WAI55:WAI56 WAI59:WAI60 WAI65430:WAI65434 WAI130966:WAI130970 WAI196502:WAI196506 WAI262038:WAI262042 WAI327574:WAI327578 WAI393110:WAI393114 WAI458646:WAI458650 WAI524182:WAI524186 WAI589718:WAI589722 WAI655254:WAI655258 WAI720790:WAI720794 WAI786326:WAI786330 WAI851862:WAI851866 WAI917398:WAI917402 WAI982934:WAI982938 WAO9:WAO10 WAO55:WAO56 WAO59:WAO60 WAO65430:WAO65434 WAO130966:WAO130970 WAO196502:WAO196506 WAO262038:WAO262042 WAO327574:WAO327578 WAO393110:WAO393114 WAO458646:WAO458650 WAO524182:WAO524186 WAO589718:WAO589722 WAO655254:WAO655258 WAO720790:WAO720794 WAO786326:WAO786330 WAO851862:WAO851866 WAO917398:WAO917402 WAO982934:WAO982938 WAS9:WAS10 WJK55:WJK56 WJK59:WJK60 WJK65430:WJK65434 WJK130966:WJK130970 WJK196502:WJK196506 WJK262038:WJK262042 WJK327574:WJK327578 WJK393110:WJK393114 WJK458646:WJK458650 WJK524182:WJK524186 WJK589718:WJK589722 WJK655254:WJK655258 WJK720790:WJK720794 WJK786326:WJK786330 WJK851862:WJK851866 WJK917398:WJK917402 WJK982934:WJK982938 WKE55:WKE56 WKE59:WKE60 WKE65430:WKE65434 WKE130966:WKE130970 WKE196502:WKE196506 WKE262038:WKE262042 WKE327574:WKE327578 WKE393110:WKE393114 WKE458646:WKE458650 WKE524182:WKE524186 WKE589718:WKE589722 WKE655254:WKE655258 WKE720790:WKE720794 WKE786326:WKE786330 WKE851862:WKE851866 WKE917398:WKE917402 WKE982934:WKE982938 WKK9:WKK10 WKK55:WKK56 WKK59:WKK60 WKK65430:WKK65434 WKK130966:WKK130970 WKK196502:WKK196506 WKK262038:WKK262042 WKK327574:WKK327578 WKK393110:WKK393114 WKK458646:WKK458650 WKK524182:WKK524186 WKK589718:WKK589722 WKK655254:WKK655258 WKK720790:WKK720794 WKK786326:WKK786330 WKK851862:WKK851866 WKK917398:WKK917402 WKK982934:WKK982938 WKO9:WKO10 WTG55:WTG56 WTG59:WTG60 WTG65430:WTG65434 WTG130966:WTG130970 WTG196502:WTG196506 WTG262038:WTG262042 WTG327574:WTG327578 WTG393110:WTG393114 WTG458646:WTG458650 WTG524182:WTG524186 WTG589718:WTG589722 WTG655254:WTG655258 WTG720790:WTG720794 WTG786326:WTG786330 WTG851862:WTG851866 WTG917398:WTG917402 WTG982934:WTG982938 WUA55:WUA56 WUA59:WUA60 WUA65430:WUA65434 WUA130966:WUA130970 WUA196502:WUA196506 WUA262038:WUA262042 WUA327574:WUA327578 WUA393110:WUA393114 WUA458646:WUA458650 WUA524182:WUA524186 WUA589718:WUA589722 WUA655254:WUA655258 WUA720790:WUA720794 WUA786326:WUA786330 WUA851862:WUA851866 WUA917398:WUA917402 WUA982934:WUA982938 WUG9:WUG10 WUG55:WUG56 WUG59:WUG60 WUG65430:WUG65434 WUG130966:WUG130970 WUG196502:WUG196506 WUG262038:WUG262042 WUG327574:WUG327578 WUG393110:WUG393114 WUG458646:WUG458650 WUG524182:WUG524186 WUG589718:WUG589722 WUG655254:WUG655258 WUG720790:WUG720794 WUG786326:WUG786330 WUG851862:WUG851866 WUG917398:WUG917402 WUG982934:WUG982938 WUK9:WUK10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B342"/>
  <sheetViews>
    <sheetView view="pageBreakPreview" topLeftCell="A209" zoomScaleNormal="100" workbookViewId="0">
      <selection activeCell="AH230" sqref="AH230"/>
    </sheetView>
  </sheetViews>
  <sheetFormatPr defaultColWidth="3" defaultRowHeight="15" customHeight="1"/>
  <cols>
    <col min="1" max="43" width="3" style="3"/>
    <col min="44" max="44" width="0" style="3" hidden="1" customWidth="1"/>
    <col min="45" max="45" width="8" style="3" hidden="1" customWidth="1"/>
    <col min="46" max="53" width="3" style="3" hidden="1" customWidth="1"/>
    <col min="54" max="54" width="12.42578125" style="3" hidden="1" customWidth="1"/>
    <col min="55" max="55" width="3" style="3" hidden="1" customWidth="1"/>
    <col min="56" max="109" width="3" style="3" customWidth="1"/>
    <col min="110" max="16384" width="3" style="3"/>
  </cols>
  <sheetData>
    <row r="1" spans="1:50" ht="15" customHeight="1">
      <c r="A1" s="1407" t="s">
        <v>27</v>
      </c>
      <c r="B1" s="1407"/>
      <c r="C1" s="1407"/>
      <c r="D1" s="1407"/>
      <c r="E1" s="1407"/>
      <c r="F1" s="1407"/>
      <c r="G1" s="1407"/>
      <c r="H1" s="1407"/>
      <c r="I1" s="1407"/>
      <c r="J1" s="1407"/>
      <c r="K1" s="1407"/>
      <c r="L1" s="1407"/>
      <c r="M1" s="1407"/>
      <c r="N1" s="1407"/>
      <c r="O1" s="1407"/>
      <c r="P1" s="1407"/>
      <c r="Q1" s="1407"/>
      <c r="R1" s="1407"/>
      <c r="S1" s="1407"/>
      <c r="T1" s="1407"/>
      <c r="U1" s="1407"/>
      <c r="V1" s="1407"/>
      <c r="W1" s="1407"/>
      <c r="X1" s="1407"/>
      <c r="Y1" s="1407"/>
      <c r="Z1" s="1407"/>
      <c r="AA1" s="1407"/>
      <c r="AB1" s="1407"/>
      <c r="AC1" s="1407"/>
      <c r="AD1" s="1407"/>
      <c r="AE1" s="1407"/>
      <c r="AF1" s="1407"/>
      <c r="AG1" s="1407"/>
      <c r="AH1" s="1407"/>
      <c r="AI1" s="1407"/>
      <c r="AJ1" s="1407"/>
      <c r="AK1" s="1407"/>
      <c r="AL1" s="1407"/>
      <c r="AM1" s="1407"/>
      <c r="AN1" s="1407"/>
      <c r="AO1" s="1407"/>
      <c r="AP1" s="1407"/>
      <c r="AQ1" s="1407"/>
      <c r="AU1" s="544"/>
      <c r="AW1" s="553"/>
      <c r="AX1" s="553"/>
    </row>
    <row r="2" spans="1:50" ht="15" customHeight="1">
      <c r="A2" s="1407"/>
      <c r="B2" s="1407"/>
      <c r="C2" s="1407"/>
      <c r="D2" s="1407"/>
      <c r="E2" s="1407"/>
      <c r="F2" s="1407"/>
      <c r="G2" s="1407"/>
      <c r="H2" s="1407"/>
      <c r="I2" s="1407"/>
      <c r="J2" s="1407"/>
      <c r="K2" s="1407"/>
      <c r="L2" s="1407"/>
      <c r="M2" s="1407"/>
      <c r="N2" s="1407"/>
      <c r="O2" s="1407"/>
      <c r="P2" s="1407"/>
      <c r="Q2" s="1407"/>
      <c r="R2" s="1407"/>
      <c r="S2" s="1407"/>
      <c r="T2" s="1407"/>
      <c r="U2" s="1407"/>
      <c r="V2" s="1407"/>
      <c r="W2" s="1407"/>
      <c r="X2" s="1407"/>
      <c r="Y2" s="1407"/>
      <c r="Z2" s="1407"/>
      <c r="AA2" s="1407"/>
      <c r="AB2" s="1407"/>
      <c r="AC2" s="1407"/>
      <c r="AD2" s="1407"/>
      <c r="AE2" s="1407"/>
      <c r="AF2" s="1407"/>
      <c r="AG2" s="1407"/>
      <c r="AH2" s="1407"/>
      <c r="AI2" s="1407"/>
      <c r="AJ2" s="1407"/>
      <c r="AK2" s="1407"/>
      <c r="AL2" s="1407"/>
      <c r="AM2" s="1407"/>
      <c r="AN2" s="1407"/>
      <c r="AO2" s="1407"/>
      <c r="AP2" s="1407"/>
      <c r="AQ2" s="1407"/>
      <c r="AW2" s="553"/>
      <c r="AX2" s="553"/>
    </row>
    <row r="3" spans="1:50" ht="15" customHeight="1">
      <c r="A3" s="1795"/>
      <c r="B3" s="1795"/>
      <c r="C3" s="1795"/>
      <c r="D3" s="1795"/>
      <c r="E3" s="1795"/>
      <c r="F3" s="1795"/>
      <c r="G3" s="1795"/>
      <c r="H3" s="1795"/>
      <c r="I3" s="1795"/>
      <c r="J3" s="1795"/>
      <c r="K3" s="1795"/>
      <c r="L3" s="1795"/>
      <c r="M3" s="1795"/>
      <c r="N3" s="1795"/>
      <c r="O3" s="1795"/>
      <c r="P3" s="1795"/>
      <c r="Q3" s="1795"/>
      <c r="R3" s="1795"/>
      <c r="S3" s="1795"/>
      <c r="T3" s="1795"/>
      <c r="U3" s="1795"/>
      <c r="V3" s="1795"/>
      <c r="W3" s="1795"/>
      <c r="X3" s="1795"/>
      <c r="Y3" s="1795"/>
      <c r="Z3" s="1795"/>
      <c r="AA3" s="1795"/>
      <c r="AB3" s="1795"/>
      <c r="AC3" s="1795"/>
      <c r="AD3" s="1795"/>
      <c r="AE3" s="1795"/>
      <c r="AF3" s="1795"/>
      <c r="AG3" s="1795"/>
      <c r="AH3" s="1795"/>
      <c r="AI3" s="1795"/>
      <c r="AJ3" s="1795"/>
      <c r="AK3" s="1795"/>
      <c r="AL3" s="1795"/>
      <c r="AM3" s="1795"/>
      <c r="AN3" s="1795"/>
      <c r="AO3" s="1795"/>
      <c r="AP3" s="1795"/>
      <c r="AQ3" s="1795"/>
      <c r="AU3" s="544"/>
      <c r="AW3" s="553"/>
      <c r="AX3" s="553"/>
    </row>
    <row r="4" spans="1:50" ht="15" customHeight="1">
      <c r="A4" s="1796" t="s">
        <v>28</v>
      </c>
      <c r="B4" s="1797"/>
      <c r="C4" s="1797"/>
      <c r="D4" s="1797"/>
      <c r="E4" s="1797"/>
      <c r="F4" s="1759" t="str">
        <f>UPPER(IF(ISBLANK(STUDENTNAMECH),STUDENTNAMEEN,STUDENTNAMECH&amp;"　（"&amp;STUDENTNAMEEN&amp;"）"))</f>
        <v/>
      </c>
      <c r="G4" s="1760"/>
      <c r="H4" s="1760"/>
      <c r="I4" s="1760"/>
      <c r="J4" s="1760"/>
      <c r="K4" s="1760"/>
      <c r="L4" s="1760"/>
      <c r="M4" s="1760"/>
      <c r="N4" s="1760"/>
      <c r="O4" s="1760"/>
      <c r="P4" s="1760"/>
      <c r="Q4" s="1760"/>
      <c r="R4" s="1760"/>
      <c r="S4" s="1760"/>
      <c r="T4" s="1760"/>
      <c r="U4" s="1760"/>
      <c r="V4" s="1760"/>
      <c r="W4" s="1760"/>
      <c r="X4" s="1760"/>
      <c r="Y4" s="1760"/>
      <c r="Z4" s="1760"/>
      <c r="AA4" s="1760"/>
      <c r="AB4" s="1760"/>
      <c r="AC4" s="1760"/>
      <c r="AD4" s="1760"/>
      <c r="AE4" s="1760"/>
      <c r="AF4" s="1760"/>
      <c r="AG4" s="1760"/>
      <c r="AH4" s="1760"/>
      <c r="AI4" s="1760"/>
      <c r="AJ4" s="1761"/>
      <c r="AK4" s="1744" t="s">
        <v>29</v>
      </c>
      <c r="AL4" s="1745"/>
      <c r="AM4" s="1745"/>
      <c r="AN4" s="1745"/>
      <c r="AO4" s="1745"/>
      <c r="AP4" s="1745"/>
      <c r="AQ4" s="1746"/>
      <c r="AW4" s="553"/>
      <c r="AX4" s="553"/>
    </row>
    <row r="5" spans="1:50" ht="15" customHeight="1">
      <c r="A5" s="1378" t="str">
        <f>IF(APNATION="","",VLOOKUP(APNATION,NAMETR,2,0))</f>
        <v>Full Name</v>
      </c>
      <c r="B5" s="1379"/>
      <c r="C5" s="1379"/>
      <c r="D5" s="1379"/>
      <c r="E5" s="1380"/>
      <c r="F5" s="1762"/>
      <c r="G5" s="1763"/>
      <c r="H5" s="1763"/>
      <c r="I5" s="1763"/>
      <c r="J5" s="1763"/>
      <c r="K5" s="1763"/>
      <c r="L5" s="1763"/>
      <c r="M5" s="1763"/>
      <c r="N5" s="1763"/>
      <c r="O5" s="1763"/>
      <c r="P5" s="1763"/>
      <c r="Q5" s="1763"/>
      <c r="R5" s="1763"/>
      <c r="S5" s="1763"/>
      <c r="T5" s="1763"/>
      <c r="U5" s="1763"/>
      <c r="V5" s="1763"/>
      <c r="W5" s="1763"/>
      <c r="X5" s="1763"/>
      <c r="Y5" s="1763"/>
      <c r="Z5" s="1763"/>
      <c r="AA5" s="1763"/>
      <c r="AB5" s="1763"/>
      <c r="AC5" s="1763"/>
      <c r="AD5" s="1763"/>
      <c r="AE5" s="1763"/>
      <c r="AF5" s="1763"/>
      <c r="AG5" s="1763"/>
      <c r="AH5" s="1763"/>
      <c r="AI5" s="1763"/>
      <c r="AJ5" s="1764"/>
      <c r="AK5" s="1747"/>
      <c r="AL5" s="1748"/>
      <c r="AM5" s="1748"/>
      <c r="AN5" s="1748"/>
      <c r="AO5" s="1748"/>
      <c r="AP5" s="1748"/>
      <c r="AQ5" s="1749"/>
      <c r="AW5" s="553"/>
      <c r="AX5" s="553"/>
    </row>
    <row r="6" spans="1:50" ht="15" customHeight="1">
      <c r="A6" s="1791" t="s">
        <v>30</v>
      </c>
      <c r="B6" s="1535"/>
      <c r="C6" s="1535"/>
      <c r="D6" s="1535"/>
      <c r="E6" s="1535"/>
      <c r="F6" s="1799" t="str">
        <f>IFERROR(UPPER(IF(OR(APNATION="日本語",APNATION="中国"),NATIONINFO,NATIONINFO&amp;" （"&amp;AS72&amp;"）")),"")</f>
        <v/>
      </c>
      <c r="G6" s="1800"/>
      <c r="H6" s="1800"/>
      <c r="I6" s="1800"/>
      <c r="J6" s="1800"/>
      <c r="K6" s="1800"/>
      <c r="L6" s="1800"/>
      <c r="M6" s="1800"/>
      <c r="N6" s="1800"/>
      <c r="O6" s="1800"/>
      <c r="P6" s="1800"/>
      <c r="Q6" s="1800"/>
      <c r="R6" s="1800"/>
      <c r="S6" s="1801"/>
      <c r="T6" s="1792" t="s">
        <v>31</v>
      </c>
      <c r="U6" s="1535"/>
      <c r="V6" s="1535"/>
      <c r="W6" s="1535"/>
      <c r="X6" s="1535"/>
      <c r="Y6" s="1535"/>
      <c r="Z6" s="1798"/>
      <c r="AA6" s="1804" t="str">
        <f>Information!F6</f>
        <v>□</v>
      </c>
      <c r="AB6" s="1804"/>
      <c r="AC6" s="1748" t="str">
        <f>"男"&amp;IF(OR(APNATION="日本語",APNATION="中国"),"","
"&amp;VLOOKUP(APNATION,FORMINFO,7,0))</f>
        <v>男
Male</v>
      </c>
      <c r="AD6" s="1748"/>
      <c r="AE6" s="1343" t="s">
        <v>32</v>
      </c>
      <c r="AF6" s="1804" t="str">
        <f>Information!J6</f>
        <v>□</v>
      </c>
      <c r="AG6" s="1804"/>
      <c r="AH6" s="1640" t="str">
        <f>"女"&amp;IF(OR(APNATION="日本語",APNATION="中国"),"","
"&amp;VLOOKUP(APNATION,FORMINFO,8,0))</f>
        <v>女
Female</v>
      </c>
      <c r="AI6" s="1640"/>
      <c r="AJ6" s="1752"/>
      <c r="AK6" s="1747"/>
      <c r="AL6" s="1748"/>
      <c r="AM6" s="1748"/>
      <c r="AN6" s="1748"/>
      <c r="AO6" s="1748"/>
      <c r="AP6" s="1748"/>
      <c r="AQ6" s="1749"/>
      <c r="AU6" s="545"/>
      <c r="AW6" s="553"/>
      <c r="AX6" s="553"/>
    </row>
    <row r="7" spans="1:50" ht="15" customHeight="1">
      <c r="A7" s="1378" t="str">
        <f>IF(APNATION="","",VLOOKUP(APNATION,FORMINFO,5,0))</f>
        <v>Nationality</v>
      </c>
      <c r="B7" s="1379"/>
      <c r="C7" s="1379"/>
      <c r="D7" s="1379"/>
      <c r="E7" s="1380"/>
      <c r="F7" s="1802"/>
      <c r="G7" s="1803"/>
      <c r="H7" s="1803"/>
      <c r="I7" s="1803"/>
      <c r="J7" s="1803"/>
      <c r="K7" s="1803"/>
      <c r="L7" s="1803"/>
      <c r="M7" s="1803"/>
      <c r="N7" s="1803"/>
      <c r="O7" s="1803"/>
      <c r="P7" s="1803"/>
      <c r="Q7" s="1803"/>
      <c r="R7" s="1803"/>
      <c r="S7" s="1402"/>
      <c r="T7" s="1715" t="str">
        <f>IF(APNATION="","",VLOOKUP(APNATION,FORMINFO,6,0))</f>
        <v>Gender</v>
      </c>
      <c r="U7" s="1634"/>
      <c r="V7" s="1634"/>
      <c r="W7" s="1634"/>
      <c r="X7" s="1634"/>
      <c r="Y7" s="1635"/>
      <c r="Z7" s="1775"/>
      <c r="AA7" s="1637"/>
      <c r="AB7" s="1637"/>
      <c r="AC7" s="1805"/>
      <c r="AD7" s="1805"/>
      <c r="AE7" s="1419"/>
      <c r="AF7" s="1637"/>
      <c r="AG7" s="1637"/>
      <c r="AH7" s="1753"/>
      <c r="AI7" s="1753"/>
      <c r="AJ7" s="1754"/>
      <c r="AK7" s="1747"/>
      <c r="AL7" s="1748"/>
      <c r="AM7" s="1748"/>
      <c r="AN7" s="1748"/>
      <c r="AO7" s="1748"/>
      <c r="AP7" s="1748"/>
      <c r="AQ7" s="1749"/>
      <c r="AW7" s="553"/>
      <c r="AX7" s="553"/>
    </row>
    <row r="8" spans="1:50" ht="15" customHeight="1">
      <c r="A8" s="1791" t="s">
        <v>33</v>
      </c>
      <c r="B8" s="1535"/>
      <c r="C8" s="1535"/>
      <c r="D8" s="1535"/>
      <c r="E8" s="1535"/>
      <c r="F8" s="1765">
        <f>IFERROR(Information!F7,"")</f>
        <v>0</v>
      </c>
      <c r="G8" s="1766"/>
      <c r="H8" s="1766"/>
      <c r="I8" s="1766"/>
      <c r="J8" s="1766"/>
      <c r="K8" s="1766"/>
      <c r="L8" s="1766"/>
      <c r="M8" s="1766"/>
      <c r="N8" s="1766"/>
      <c r="O8" s="1767"/>
      <c r="P8" s="1724" t="s">
        <v>34</v>
      </c>
      <c r="Q8" s="1614"/>
      <c r="R8" s="1418">
        <f>IFERROR(DATEDIF(STUDENTDOB,Information!$Q$2,"Y"),"")</f>
        <v>124</v>
      </c>
      <c r="S8" s="1626"/>
      <c r="T8" s="1792" t="s">
        <v>35</v>
      </c>
      <c r="U8" s="1792"/>
      <c r="V8" s="1792"/>
      <c r="W8" s="1792"/>
      <c r="X8" s="1792"/>
      <c r="Y8" s="1792"/>
      <c r="Z8" s="1774" t="str">
        <f>Information!F11</f>
        <v/>
      </c>
      <c r="AA8" s="1418"/>
      <c r="AB8" s="1418"/>
      <c r="AC8" s="1755">
        <f>Information!I11</f>
        <v>0</v>
      </c>
      <c r="AD8" s="1755"/>
      <c r="AE8" s="1755"/>
      <c r="AF8" s="1755"/>
      <c r="AG8" s="1755"/>
      <c r="AH8" s="1755"/>
      <c r="AI8" s="1755"/>
      <c r="AJ8" s="1756"/>
      <c r="AK8" s="1747"/>
      <c r="AL8" s="1748"/>
      <c r="AM8" s="1748"/>
      <c r="AN8" s="1748"/>
      <c r="AO8" s="1748"/>
      <c r="AP8" s="1748"/>
      <c r="AQ8" s="1749"/>
      <c r="AU8" s="546"/>
      <c r="AW8" s="553"/>
      <c r="AX8" s="553"/>
    </row>
    <row r="9" spans="1:50" ht="15" customHeight="1">
      <c r="A9" s="1378" t="str">
        <f>IF(APNATION="","",VLOOKUP(APNATION,FORMINFO,12,0))</f>
        <v>Date of Birth</v>
      </c>
      <c r="B9" s="1379"/>
      <c r="C9" s="1379"/>
      <c r="D9" s="1379"/>
      <c r="E9" s="1380"/>
      <c r="F9" s="1768"/>
      <c r="G9" s="1769"/>
      <c r="H9" s="1769"/>
      <c r="I9" s="1769"/>
      <c r="J9" s="1769"/>
      <c r="K9" s="1769"/>
      <c r="L9" s="1769"/>
      <c r="M9" s="1769"/>
      <c r="N9" s="1769"/>
      <c r="O9" s="1770"/>
      <c r="P9" s="1723" t="str">
        <f>IF(APNATION="","",VLOOKUP(APNATION,FORMINFO,16,0))</f>
        <v>Age</v>
      </c>
      <c r="Q9" s="1713"/>
      <c r="R9" s="1419"/>
      <c r="S9" s="1771"/>
      <c r="T9" s="1381" t="str">
        <f>IF(APNATION="","",VLOOKUP(APNATION,FORMINFO,21,0))</f>
        <v>Telephone Number</v>
      </c>
      <c r="U9" s="1379"/>
      <c r="V9" s="1379"/>
      <c r="W9" s="1379"/>
      <c r="X9" s="1379"/>
      <c r="Y9" s="1380"/>
      <c r="Z9" s="1775"/>
      <c r="AA9" s="1419"/>
      <c r="AB9" s="1419"/>
      <c r="AC9" s="1757"/>
      <c r="AD9" s="1757"/>
      <c r="AE9" s="1757"/>
      <c r="AF9" s="1757"/>
      <c r="AG9" s="1757"/>
      <c r="AH9" s="1757"/>
      <c r="AI9" s="1757"/>
      <c r="AJ9" s="1758"/>
      <c r="AK9" s="1747"/>
      <c r="AL9" s="1748"/>
      <c r="AM9" s="1748"/>
      <c r="AN9" s="1748"/>
      <c r="AO9" s="1748"/>
      <c r="AP9" s="1748"/>
      <c r="AQ9" s="1749"/>
      <c r="AU9" s="546"/>
      <c r="AW9" s="553"/>
      <c r="AX9" s="553"/>
    </row>
    <row r="10" spans="1:50" ht="15" customHeight="1">
      <c r="A10" s="1791" t="s">
        <v>36</v>
      </c>
      <c r="B10" s="1535"/>
      <c r="C10" s="1535"/>
      <c r="D10" s="1535"/>
      <c r="E10" s="1535"/>
      <c r="F10" s="1423" t="str">
        <f>UPPER(IF(Information!AB8="","",INDEX(JOBSINDEX,MATCH(Information!AB8,JOBSMATCH,0))))</f>
        <v/>
      </c>
      <c r="G10" s="1424"/>
      <c r="H10" s="1424"/>
      <c r="I10" s="1424"/>
      <c r="J10" s="1424"/>
      <c r="K10" s="1424"/>
      <c r="L10" s="1424"/>
      <c r="M10" s="1424"/>
      <c r="N10" s="1424"/>
      <c r="O10" s="1424"/>
      <c r="P10" s="1424"/>
      <c r="Q10" s="1424"/>
      <c r="R10" s="1424"/>
      <c r="S10" s="1425"/>
      <c r="T10" s="1792" t="s">
        <v>37</v>
      </c>
      <c r="U10" s="1792"/>
      <c r="V10" s="1792"/>
      <c r="W10" s="1792"/>
      <c r="X10" s="1792"/>
      <c r="Y10" s="1792"/>
      <c r="Z10" s="1423" t="str">
        <f>UPPER(Information!AB11)</f>
        <v/>
      </c>
      <c r="AA10" s="1424"/>
      <c r="AB10" s="1424"/>
      <c r="AC10" s="1424"/>
      <c r="AD10" s="1424"/>
      <c r="AE10" s="1424"/>
      <c r="AF10" s="1424"/>
      <c r="AG10" s="1424"/>
      <c r="AH10" s="1424"/>
      <c r="AI10" s="1424"/>
      <c r="AJ10" s="1772"/>
      <c r="AK10" s="1747"/>
      <c r="AL10" s="1748"/>
      <c r="AM10" s="1748"/>
      <c r="AN10" s="1748"/>
      <c r="AO10" s="1748"/>
      <c r="AP10" s="1748"/>
      <c r="AQ10" s="1749"/>
      <c r="AW10" s="553"/>
      <c r="AX10" s="553"/>
    </row>
    <row r="11" spans="1:50" ht="15" customHeight="1">
      <c r="A11" s="1378" t="str">
        <f>IF(APNATION="","",VLOOKUP(APNATION,FORMINFO,19,0))</f>
        <v>Occupation</v>
      </c>
      <c r="B11" s="1379"/>
      <c r="C11" s="1379"/>
      <c r="D11" s="1379"/>
      <c r="E11" s="1380"/>
      <c r="F11" s="1426"/>
      <c r="G11" s="1427"/>
      <c r="H11" s="1427"/>
      <c r="I11" s="1427"/>
      <c r="J11" s="1427"/>
      <c r="K11" s="1427"/>
      <c r="L11" s="1427"/>
      <c r="M11" s="1427"/>
      <c r="N11" s="1427"/>
      <c r="O11" s="1427"/>
      <c r="P11" s="1427"/>
      <c r="Q11" s="1427"/>
      <c r="R11" s="1427"/>
      <c r="S11" s="1428"/>
      <c r="T11" s="1381" t="str">
        <f>IF(APNATION="","",VLOOKUP(APNATION,FORMINFO,22,0))</f>
        <v>Place for Visa Application</v>
      </c>
      <c r="U11" s="1379"/>
      <c r="V11" s="1379"/>
      <c r="W11" s="1379"/>
      <c r="X11" s="1379"/>
      <c r="Y11" s="1380"/>
      <c r="Z11" s="1426"/>
      <c r="AA11" s="1427"/>
      <c r="AB11" s="1427"/>
      <c r="AC11" s="1427"/>
      <c r="AD11" s="1427"/>
      <c r="AE11" s="1427"/>
      <c r="AF11" s="1427"/>
      <c r="AG11" s="1427"/>
      <c r="AH11" s="1427"/>
      <c r="AI11" s="1427"/>
      <c r="AJ11" s="1773"/>
      <c r="AK11" s="1747"/>
      <c r="AL11" s="1748"/>
      <c r="AM11" s="1748"/>
      <c r="AN11" s="1748"/>
      <c r="AO11" s="1748"/>
      <c r="AP11" s="1748"/>
      <c r="AQ11" s="1749"/>
      <c r="AW11" s="553"/>
      <c r="AX11" s="553"/>
    </row>
    <row r="12" spans="1:50" ht="15" customHeight="1">
      <c r="A12" s="1793" t="s">
        <v>38</v>
      </c>
      <c r="B12" s="1794"/>
      <c r="C12" s="1794"/>
      <c r="D12" s="1794"/>
      <c r="E12" s="1794"/>
      <c r="F12" s="1782" t="str">
        <f>IF(Information!$AB$6="","なし",Information!$AB$6)</f>
        <v>なし</v>
      </c>
      <c r="G12" s="1783"/>
      <c r="H12" s="1783"/>
      <c r="I12" s="1783"/>
      <c r="J12" s="1783"/>
      <c r="K12" s="1783"/>
      <c r="L12" s="1783"/>
      <c r="M12" s="1783"/>
      <c r="N12" s="1783"/>
      <c r="O12" s="1783"/>
      <c r="P12" s="1783"/>
      <c r="Q12" s="1783"/>
      <c r="R12" s="1783"/>
      <c r="S12" s="1784"/>
      <c r="T12" s="1792" t="s">
        <v>39</v>
      </c>
      <c r="U12" s="1792"/>
      <c r="V12" s="1792"/>
      <c r="W12" s="1792"/>
      <c r="X12" s="1792"/>
      <c r="Y12" s="1792"/>
      <c r="Z12" s="1423" t="str">
        <f>UPPER(IF(PASSPORTNUMBER="","なし",PASSPORTNUMBER))</f>
        <v>なし</v>
      </c>
      <c r="AA12" s="1424"/>
      <c r="AB12" s="1424"/>
      <c r="AC12" s="1424"/>
      <c r="AD12" s="1424"/>
      <c r="AE12" s="1424"/>
      <c r="AF12" s="1424"/>
      <c r="AG12" s="1424"/>
      <c r="AH12" s="1424"/>
      <c r="AI12" s="1424"/>
      <c r="AJ12" s="1772"/>
      <c r="AK12" s="1747"/>
      <c r="AL12" s="1748"/>
      <c r="AM12" s="1748"/>
      <c r="AN12" s="1748"/>
      <c r="AO12" s="1748"/>
      <c r="AP12" s="1748"/>
      <c r="AQ12" s="1749"/>
      <c r="AR12" s="547"/>
      <c r="AW12" s="553"/>
      <c r="AX12" s="553"/>
    </row>
    <row r="13" spans="1:50" ht="15" customHeight="1">
      <c r="A13" s="1378" t="str">
        <f>IF(APNATION="","",VLOOKUP(APNATION,FORMINFO,85,0))</f>
        <v>Recruitment Agency Name</v>
      </c>
      <c r="B13" s="1379"/>
      <c r="C13" s="1379"/>
      <c r="D13" s="1379"/>
      <c r="E13" s="1380"/>
      <c r="F13" s="1785"/>
      <c r="G13" s="1786"/>
      <c r="H13" s="1786"/>
      <c r="I13" s="1786"/>
      <c r="J13" s="1786"/>
      <c r="K13" s="1786"/>
      <c r="L13" s="1786"/>
      <c r="M13" s="1786"/>
      <c r="N13" s="1786"/>
      <c r="O13" s="1786"/>
      <c r="P13" s="1786"/>
      <c r="Q13" s="1786"/>
      <c r="R13" s="1786"/>
      <c r="S13" s="1787"/>
      <c r="T13" s="1723" t="str">
        <f>IF(APNATION="","",VLOOKUP(APNATION,FORMINFO,23,0))</f>
        <v>Passport Number</v>
      </c>
      <c r="U13" s="1713"/>
      <c r="V13" s="1713"/>
      <c r="W13" s="1713"/>
      <c r="X13" s="1713"/>
      <c r="Y13" s="1714"/>
      <c r="Z13" s="1426"/>
      <c r="AA13" s="1427"/>
      <c r="AB13" s="1427"/>
      <c r="AC13" s="1427"/>
      <c r="AD13" s="1427"/>
      <c r="AE13" s="1427"/>
      <c r="AF13" s="1427"/>
      <c r="AG13" s="1427"/>
      <c r="AH13" s="1427"/>
      <c r="AI13" s="1427"/>
      <c r="AJ13" s="1773"/>
      <c r="AK13" s="1747"/>
      <c r="AL13" s="1748"/>
      <c r="AM13" s="1748"/>
      <c r="AN13" s="1748"/>
      <c r="AO13" s="1748"/>
      <c r="AP13" s="1748"/>
      <c r="AQ13" s="1749"/>
      <c r="AR13" s="547"/>
      <c r="AW13" s="553"/>
      <c r="AX13" s="553"/>
    </row>
    <row r="14" spans="1:50" ht="15" customHeight="1">
      <c r="A14" s="1735" t="s">
        <v>40</v>
      </c>
      <c r="B14" s="1736"/>
      <c r="C14" s="1736"/>
      <c r="D14" s="1736"/>
      <c r="E14" s="1736"/>
      <c r="F14" s="1782" t="str">
        <f>IF(Information!$AB$7="","なし",Information!$AB$7)</f>
        <v>なし</v>
      </c>
      <c r="G14" s="1783"/>
      <c r="H14" s="1783"/>
      <c r="I14" s="1783"/>
      <c r="J14" s="1783"/>
      <c r="K14" s="1783"/>
      <c r="L14" s="1783"/>
      <c r="M14" s="1783"/>
      <c r="N14" s="1783"/>
      <c r="O14" s="1783"/>
      <c r="P14" s="1783"/>
      <c r="Q14" s="1783"/>
      <c r="R14" s="1783"/>
      <c r="S14" s="1784"/>
      <c r="T14" s="1737" t="s">
        <v>41</v>
      </c>
      <c r="U14" s="1737"/>
      <c r="V14" s="1737"/>
      <c r="W14" s="1737"/>
      <c r="X14" s="1737"/>
      <c r="Y14" s="1737"/>
      <c r="Z14" s="1776" t="str">
        <f>IF(ISBLANK(Information!$AB$12)," ",Information!$AB$12)</f>
        <v xml:space="preserve"> </v>
      </c>
      <c r="AA14" s="1777"/>
      <c r="AB14" s="1777"/>
      <c r="AC14" s="1777"/>
      <c r="AD14" s="1777"/>
      <c r="AE14" s="1742" t="str">
        <f>IF(Information!$AB$12="","","~")</f>
        <v/>
      </c>
      <c r="AF14" s="1777" t="str">
        <f>IF(ISBLANK(Information!$AM$12)," ",Information!$AM$12)</f>
        <v xml:space="preserve"> </v>
      </c>
      <c r="AG14" s="1777"/>
      <c r="AH14" s="1777"/>
      <c r="AI14" s="1777"/>
      <c r="AJ14" s="1780"/>
      <c r="AK14" s="1747"/>
      <c r="AL14" s="1748"/>
      <c r="AM14" s="1748"/>
      <c r="AN14" s="1748"/>
      <c r="AO14" s="1748"/>
      <c r="AP14" s="1748"/>
      <c r="AQ14" s="1749"/>
      <c r="AS14" s="548"/>
      <c r="AW14" s="553"/>
      <c r="AX14" s="553"/>
    </row>
    <row r="15" spans="1:50" ht="15" customHeight="1">
      <c r="A15" s="1488" t="str">
        <f>IF(APNATION="","",VLOOKUP(APNATION,FORMINFO,84,0))</f>
        <v>Full Agency Address</v>
      </c>
      <c r="B15" s="1489"/>
      <c r="C15" s="1489"/>
      <c r="D15" s="1489"/>
      <c r="E15" s="1489"/>
      <c r="F15" s="1788"/>
      <c r="G15" s="1789"/>
      <c r="H15" s="1789"/>
      <c r="I15" s="1789"/>
      <c r="J15" s="1789"/>
      <c r="K15" s="1789"/>
      <c r="L15" s="1789"/>
      <c r="M15" s="1789"/>
      <c r="N15" s="1789"/>
      <c r="O15" s="1789"/>
      <c r="P15" s="1789"/>
      <c r="Q15" s="1789"/>
      <c r="R15" s="1789"/>
      <c r="S15" s="1790"/>
      <c r="T15" s="1622" t="str">
        <f>IF(APNATION="","",VLOOKUP(APNATION,FORMINFO,26,0))</f>
        <v>Validity Period</v>
      </c>
      <c r="U15" s="1622"/>
      <c r="V15" s="1622"/>
      <c r="W15" s="1622"/>
      <c r="X15" s="1622"/>
      <c r="Y15" s="1622"/>
      <c r="Z15" s="1778"/>
      <c r="AA15" s="1779"/>
      <c r="AB15" s="1779"/>
      <c r="AC15" s="1779"/>
      <c r="AD15" s="1779"/>
      <c r="AE15" s="1743"/>
      <c r="AF15" s="1779"/>
      <c r="AG15" s="1779"/>
      <c r="AH15" s="1779"/>
      <c r="AI15" s="1779"/>
      <c r="AJ15" s="1781"/>
      <c r="AK15" s="1750"/>
      <c r="AL15" s="1743"/>
      <c r="AM15" s="1743"/>
      <c r="AN15" s="1743"/>
      <c r="AO15" s="1743"/>
      <c r="AP15" s="1743"/>
      <c r="AQ15" s="1751"/>
      <c r="AS15" s="548"/>
      <c r="AW15" s="553"/>
      <c r="AX15" s="553"/>
    </row>
    <row r="16" spans="1:50" ht="15" customHeight="1">
      <c r="A16" s="1738" t="s">
        <v>42</v>
      </c>
      <c r="B16" s="1739"/>
      <c r="C16" s="1739"/>
      <c r="D16" s="1739"/>
      <c r="E16" s="1739"/>
      <c r="F16" s="1739"/>
      <c r="G16" s="1739"/>
      <c r="H16" s="1739"/>
      <c r="I16" s="1739"/>
      <c r="J16" s="1739"/>
      <c r="K16" s="1739"/>
      <c r="L16" s="1739"/>
      <c r="M16" s="1739"/>
      <c r="N16" s="1739"/>
      <c r="O16" s="1739"/>
      <c r="P16" s="1739"/>
      <c r="Q16" s="1739"/>
      <c r="R16" s="1739"/>
      <c r="S16" s="1739"/>
      <c r="T16" s="1739"/>
      <c r="U16" s="1739"/>
      <c r="V16" s="1739"/>
      <c r="W16" s="1739"/>
      <c r="X16" s="1739"/>
      <c r="Y16" s="1739"/>
      <c r="Z16" s="1739"/>
      <c r="AA16" s="1739"/>
      <c r="AB16" s="1739"/>
      <c r="AC16" s="1739"/>
      <c r="AD16" s="1739"/>
      <c r="AE16" s="1739"/>
      <c r="AF16" s="1739"/>
      <c r="AG16" s="1739"/>
      <c r="AH16" s="1739"/>
      <c r="AI16" s="1739"/>
      <c r="AJ16" s="1739"/>
      <c r="AK16" s="1739"/>
      <c r="AL16" s="1739"/>
      <c r="AM16" s="1739"/>
      <c r="AN16" s="1739"/>
      <c r="AO16" s="1739"/>
      <c r="AP16" s="1739"/>
      <c r="AQ16" s="1739"/>
      <c r="AS16" s="548"/>
      <c r="AU16" s="546"/>
      <c r="AW16" s="553"/>
      <c r="AX16" s="553"/>
    </row>
    <row r="17" spans="1:68" s="534" customFormat="1" ht="15" customHeight="1">
      <c r="A17" s="1740" t="s">
        <v>43</v>
      </c>
      <c r="B17" s="1587"/>
      <c r="C17" s="1587"/>
      <c r="D17" s="1587"/>
      <c r="E17" s="1587"/>
      <c r="F17" s="1587"/>
      <c r="G17" s="1587"/>
      <c r="H17" s="1282" t="str">
        <f>UPPER(Information!H64)</f>
        <v/>
      </c>
      <c r="I17" s="1283"/>
      <c r="J17" s="1283"/>
      <c r="K17" s="1283"/>
      <c r="L17" s="1283"/>
      <c r="M17" s="1283"/>
      <c r="N17" s="1283"/>
      <c r="O17" s="1283"/>
      <c r="P17" s="1283"/>
      <c r="Q17" s="1283"/>
      <c r="R17" s="1283"/>
      <c r="S17" s="1283"/>
      <c r="T17" s="1284"/>
      <c r="U17" s="1741" t="s">
        <v>44</v>
      </c>
      <c r="V17" s="1587"/>
      <c r="W17" s="1587"/>
      <c r="X17" s="1587"/>
      <c r="Y17" s="1587"/>
      <c r="Z17" s="1587"/>
      <c r="AA17" s="1587"/>
      <c r="AB17" s="1587"/>
      <c r="AC17" s="1587"/>
      <c r="AD17" s="1587"/>
      <c r="AE17" s="1587"/>
      <c r="AF17" s="1682"/>
      <c r="AG17" s="1282" t="str">
        <f>UPPER(IF(Information!AH64="","",INDEX(FAMILYTRANSLATION,MATCH(Information!AH64,FAMILYMATCH,0))))</f>
        <v/>
      </c>
      <c r="AH17" s="1283"/>
      <c r="AI17" s="1283"/>
      <c r="AJ17" s="1283"/>
      <c r="AK17" s="1283"/>
      <c r="AL17" s="1283"/>
      <c r="AM17" s="1283"/>
      <c r="AN17" s="1283"/>
      <c r="AO17" s="1283"/>
      <c r="AP17" s="1283"/>
      <c r="AQ17" s="1288"/>
      <c r="AS17" s="549"/>
      <c r="AT17" s="3"/>
      <c r="AU17" s="550"/>
      <c r="AV17" s="3"/>
      <c r="AW17" s="553"/>
      <c r="AX17" s="553"/>
      <c r="AY17" s="3"/>
      <c r="AZ17" s="3"/>
      <c r="BA17" s="3"/>
      <c r="BB17" s="3"/>
      <c r="BC17" s="3"/>
      <c r="BD17" s="3"/>
      <c r="BE17" s="3"/>
      <c r="BF17" s="3"/>
      <c r="BG17" s="3"/>
      <c r="BH17" s="3"/>
      <c r="BI17" s="3"/>
      <c r="BJ17" s="3"/>
      <c r="BK17" s="3"/>
      <c r="BL17" s="3"/>
      <c r="BM17" s="3"/>
      <c r="BN17" s="3"/>
      <c r="BO17" s="3"/>
      <c r="BP17" s="3"/>
    </row>
    <row r="18" spans="1:68" s="534" customFormat="1" ht="15" customHeight="1">
      <c r="A18" s="1721" t="str">
        <f>IF(APNATION="","",VLOOKUP(APNATION,NAMETR,2,0))</f>
        <v>Full Name</v>
      </c>
      <c r="B18" s="1722"/>
      <c r="C18" s="1722"/>
      <c r="D18" s="1722"/>
      <c r="E18" s="1722"/>
      <c r="F18" s="1722"/>
      <c r="G18" s="1722"/>
      <c r="H18" s="1285"/>
      <c r="I18" s="1286"/>
      <c r="J18" s="1286"/>
      <c r="K18" s="1286"/>
      <c r="L18" s="1286"/>
      <c r="M18" s="1286"/>
      <c r="N18" s="1286"/>
      <c r="O18" s="1286"/>
      <c r="P18" s="1286"/>
      <c r="Q18" s="1286"/>
      <c r="R18" s="1286"/>
      <c r="S18" s="1286"/>
      <c r="T18" s="1287"/>
      <c r="U18" s="1723" t="str">
        <f>IF(APNATION="","",VLOOKUP(APNATION,FORMINFO,60,0))</f>
        <v>Relationship to Applicant</v>
      </c>
      <c r="V18" s="1713"/>
      <c r="W18" s="1713"/>
      <c r="X18" s="1713"/>
      <c r="Y18" s="1713"/>
      <c r="Z18" s="1713"/>
      <c r="AA18" s="1713"/>
      <c r="AB18" s="1713"/>
      <c r="AC18" s="1713"/>
      <c r="AD18" s="1713"/>
      <c r="AE18" s="1713"/>
      <c r="AF18" s="1714"/>
      <c r="AG18" s="1285"/>
      <c r="AH18" s="1286"/>
      <c r="AI18" s="1286"/>
      <c r="AJ18" s="1286"/>
      <c r="AK18" s="1286"/>
      <c r="AL18" s="1286"/>
      <c r="AM18" s="1286"/>
      <c r="AN18" s="1286"/>
      <c r="AO18" s="1286"/>
      <c r="AP18" s="1286"/>
      <c r="AQ18" s="1289"/>
      <c r="AS18" s="549"/>
      <c r="AT18" s="3"/>
      <c r="AU18" s="550"/>
      <c r="AV18" s="3"/>
      <c r="AW18" s="553"/>
      <c r="AX18" s="553"/>
      <c r="AY18" s="3"/>
      <c r="AZ18" s="3"/>
      <c r="BA18" s="3"/>
      <c r="BB18" s="3"/>
      <c r="BC18" s="3"/>
      <c r="BD18" s="3"/>
      <c r="BE18" s="3"/>
      <c r="BF18" s="3"/>
      <c r="BG18" s="3"/>
      <c r="BH18" s="3"/>
      <c r="BI18" s="3"/>
      <c r="BJ18" s="3"/>
      <c r="BK18" s="3"/>
      <c r="BL18" s="3"/>
      <c r="BM18" s="3"/>
      <c r="BN18" s="3"/>
      <c r="BO18" s="3"/>
      <c r="BP18" s="3"/>
    </row>
    <row r="19" spans="1:68" s="535" customFormat="1" ht="15" customHeight="1">
      <c r="A19" s="1641" t="s">
        <v>45</v>
      </c>
      <c r="B19" s="1614"/>
      <c r="C19" s="1614"/>
      <c r="D19" s="1614"/>
      <c r="E19" s="1614"/>
      <c r="F19" s="1614"/>
      <c r="G19" s="1642"/>
      <c r="H19" s="1423" t="str">
        <f>IFERROR(UPPER(IF(OR(APNATION="日本語",APNATION="中国"),SPONSORCOUNTRY,SPONSORCOUNTRY&amp;" （"&amp;AS73&amp;"）")),"")</f>
        <v/>
      </c>
      <c r="I19" s="1424"/>
      <c r="J19" s="1424"/>
      <c r="K19" s="1424"/>
      <c r="L19" s="1424"/>
      <c r="M19" s="1424"/>
      <c r="N19" s="1424"/>
      <c r="O19" s="1424"/>
      <c r="P19" s="1424"/>
      <c r="Q19" s="1424"/>
      <c r="R19" s="1424"/>
      <c r="S19" s="1424"/>
      <c r="T19" s="1425"/>
      <c r="U19" s="1724" t="s">
        <v>46</v>
      </c>
      <c r="V19" s="1614"/>
      <c r="W19" s="1614"/>
      <c r="X19" s="1614"/>
      <c r="Y19" s="1614"/>
      <c r="Z19" s="1614"/>
      <c r="AA19" s="1614"/>
      <c r="AB19" s="1614"/>
      <c r="AC19" s="1614"/>
      <c r="AD19" s="1614"/>
      <c r="AE19" s="1614"/>
      <c r="AF19" s="1642"/>
      <c r="AG19" s="1726" t="str">
        <f>IFERROR(UPPER(IF(OR(APNATION="日本語",APNATION="中国"),SPONSORHOME,SPONSORHOME&amp;" （"&amp;AS74&amp;"）")),"")</f>
        <v/>
      </c>
      <c r="AH19" s="1726"/>
      <c r="AI19" s="1726"/>
      <c r="AJ19" s="1726"/>
      <c r="AK19" s="1726"/>
      <c r="AL19" s="1726"/>
      <c r="AM19" s="1726"/>
      <c r="AN19" s="1726"/>
      <c r="AO19" s="1726"/>
      <c r="AP19" s="1726"/>
      <c r="AQ19" s="1728"/>
      <c r="AS19" s="548"/>
      <c r="AT19" s="3"/>
      <c r="AU19" s="550"/>
      <c r="AV19" s="3"/>
      <c r="AW19" s="553"/>
      <c r="AX19" s="553"/>
      <c r="AY19" s="3"/>
      <c r="AZ19" s="3"/>
      <c r="BA19" s="3"/>
      <c r="BB19" s="3"/>
      <c r="BC19" s="3"/>
      <c r="BD19" s="3"/>
      <c r="BE19" s="3"/>
      <c r="BF19" s="3"/>
      <c r="BG19" s="3"/>
      <c r="BH19" s="3"/>
      <c r="BI19" s="3"/>
      <c r="BJ19" s="3"/>
      <c r="BK19" s="3"/>
      <c r="BL19" s="3"/>
      <c r="BM19" s="3"/>
      <c r="BN19" s="3"/>
      <c r="BO19" s="3"/>
      <c r="BP19" s="3"/>
    </row>
    <row r="20" spans="1:68" s="535" customFormat="1" ht="15" customHeight="1">
      <c r="A20" s="1712" t="str">
        <f>IF(APNATION="","",VLOOKUP(APNATION,FORMINFO,5,0))</f>
        <v>Nationality</v>
      </c>
      <c r="B20" s="1713"/>
      <c r="C20" s="1713"/>
      <c r="D20" s="1713"/>
      <c r="E20" s="1713"/>
      <c r="F20" s="1713"/>
      <c r="G20" s="1714"/>
      <c r="H20" s="1725"/>
      <c r="I20" s="1726"/>
      <c r="J20" s="1726"/>
      <c r="K20" s="1726"/>
      <c r="L20" s="1726"/>
      <c r="M20" s="1726"/>
      <c r="N20" s="1726"/>
      <c r="O20" s="1726"/>
      <c r="P20" s="1726"/>
      <c r="Q20" s="1726"/>
      <c r="R20" s="1726"/>
      <c r="S20" s="1726"/>
      <c r="T20" s="1727"/>
      <c r="U20" s="1723" t="str">
        <f>IF(APNATION="","",VLOOKUP(APNATION,FORMINFO,61,0))</f>
        <v>Country of Residence</v>
      </c>
      <c r="V20" s="1713"/>
      <c r="W20" s="1713"/>
      <c r="X20" s="1713"/>
      <c r="Y20" s="1713"/>
      <c r="Z20" s="1713"/>
      <c r="AA20" s="1713"/>
      <c r="AB20" s="1713"/>
      <c r="AC20" s="1713"/>
      <c r="AD20" s="1713"/>
      <c r="AE20" s="1713"/>
      <c r="AF20" s="1714"/>
      <c r="AG20" s="1726"/>
      <c r="AH20" s="1726"/>
      <c r="AI20" s="1726"/>
      <c r="AJ20" s="1726"/>
      <c r="AK20" s="1726"/>
      <c r="AL20" s="1726"/>
      <c r="AM20" s="1726"/>
      <c r="AN20" s="1726"/>
      <c r="AO20" s="1726"/>
      <c r="AP20" s="1726"/>
      <c r="AQ20" s="1728"/>
      <c r="AS20" s="548"/>
      <c r="AT20" s="3"/>
      <c r="AU20" s="550"/>
      <c r="AV20" s="3"/>
      <c r="AW20" s="553"/>
      <c r="AX20" s="553"/>
      <c r="AY20" s="3"/>
      <c r="AZ20" s="3"/>
      <c r="BA20" s="3"/>
      <c r="BB20" s="3"/>
      <c r="BC20" s="3"/>
      <c r="BD20" s="3"/>
      <c r="BE20" s="3"/>
      <c r="BF20" s="3"/>
      <c r="BG20" s="3"/>
      <c r="BH20" s="3"/>
      <c r="BI20" s="3"/>
      <c r="BJ20" s="3"/>
      <c r="BK20" s="3"/>
      <c r="BL20" s="3"/>
      <c r="BM20" s="3"/>
      <c r="BN20" s="3"/>
      <c r="BO20" s="3"/>
      <c r="BP20" s="3"/>
    </row>
    <row r="21" spans="1:68" s="535" customFormat="1" ht="15" customHeight="1">
      <c r="A21" s="1650" t="s">
        <v>47</v>
      </c>
      <c r="B21" s="1525"/>
      <c r="C21" s="1525"/>
      <c r="D21" s="1525"/>
      <c r="E21" s="1525"/>
      <c r="F21" s="1525"/>
      <c r="G21" s="1525"/>
      <c r="H21" s="1729" t="str">
        <f>UPPER(FORMULAS!K5)</f>
        <v xml:space="preserve">
</v>
      </c>
      <c r="I21" s="1730"/>
      <c r="J21" s="1730"/>
      <c r="K21" s="1730"/>
      <c r="L21" s="1730"/>
      <c r="M21" s="1730"/>
      <c r="N21" s="1730"/>
      <c r="O21" s="1730"/>
      <c r="P21" s="1730"/>
      <c r="Q21" s="1730"/>
      <c r="R21" s="1730"/>
      <c r="S21" s="1730"/>
      <c r="T21" s="1730"/>
      <c r="U21" s="1730"/>
      <c r="V21" s="1730"/>
      <c r="W21" s="1730"/>
      <c r="X21" s="1730"/>
      <c r="Y21" s="1730"/>
      <c r="Z21" s="1730"/>
      <c r="AA21" s="1730"/>
      <c r="AB21" s="1730"/>
      <c r="AC21" s="1730"/>
      <c r="AD21" s="1730"/>
      <c r="AE21" s="1730"/>
      <c r="AF21" s="1730"/>
      <c r="AG21" s="1730"/>
      <c r="AH21" s="1730"/>
      <c r="AI21" s="1730"/>
      <c r="AJ21" s="1730"/>
      <c r="AK21" s="1730"/>
      <c r="AL21" s="1730"/>
      <c r="AM21" s="1730"/>
      <c r="AN21" s="1730"/>
      <c r="AO21" s="1730"/>
      <c r="AP21" s="1730"/>
      <c r="AQ21" s="1731"/>
      <c r="AS21" s="548"/>
      <c r="AT21" s="551" t="str">
        <f>IF(SPONSORADDRESS2="","","戸籍住所：  ")&amp;SPONSORADDRESS1</f>
        <v/>
      </c>
      <c r="AU21" s="550"/>
      <c r="AV21" s="3"/>
      <c r="AW21" s="553"/>
      <c r="AX21" s="553"/>
      <c r="AY21" s="3"/>
      <c r="AZ21" s="3"/>
      <c r="BA21" s="3"/>
      <c r="BB21" s="3"/>
      <c r="BC21" s="3"/>
      <c r="BD21" s="3"/>
      <c r="BE21" s="3"/>
      <c r="BF21" s="3"/>
      <c r="BG21" s="3"/>
      <c r="BH21" s="3"/>
      <c r="BI21" s="3"/>
      <c r="BJ21" s="3"/>
      <c r="BK21" s="3"/>
      <c r="BL21" s="3"/>
      <c r="BM21" s="3"/>
      <c r="BN21" s="3"/>
      <c r="BO21" s="3"/>
      <c r="BP21" s="3"/>
    </row>
    <row r="22" spans="1:68" s="535" customFormat="1" ht="15" customHeight="1">
      <c r="A22" s="1710" t="str">
        <f>IF(APNATION="","",VLOOKUP(APNATION,FORMINFO,20,0))</f>
        <v>Home Address</v>
      </c>
      <c r="B22" s="1711"/>
      <c r="C22" s="1711"/>
      <c r="D22" s="1711"/>
      <c r="E22" s="1711"/>
      <c r="F22" s="1711"/>
      <c r="G22" s="1711"/>
      <c r="H22" s="1732"/>
      <c r="I22" s="1733"/>
      <c r="J22" s="1733"/>
      <c r="K22" s="1733"/>
      <c r="L22" s="1733"/>
      <c r="M22" s="1733"/>
      <c r="N22" s="1733"/>
      <c r="O22" s="1733"/>
      <c r="P22" s="1733"/>
      <c r="Q22" s="1733"/>
      <c r="R22" s="1733"/>
      <c r="S22" s="1733"/>
      <c r="T22" s="1733"/>
      <c r="U22" s="1733"/>
      <c r="V22" s="1733"/>
      <c r="W22" s="1733"/>
      <c r="X22" s="1733"/>
      <c r="Y22" s="1733"/>
      <c r="Z22" s="1733"/>
      <c r="AA22" s="1733"/>
      <c r="AB22" s="1733"/>
      <c r="AC22" s="1733"/>
      <c r="AD22" s="1733"/>
      <c r="AE22" s="1733"/>
      <c r="AF22" s="1733"/>
      <c r="AG22" s="1733"/>
      <c r="AH22" s="1733"/>
      <c r="AI22" s="1733"/>
      <c r="AJ22" s="1733"/>
      <c r="AK22" s="1733"/>
      <c r="AL22" s="1733"/>
      <c r="AM22" s="1733"/>
      <c r="AN22" s="1733"/>
      <c r="AO22" s="1733"/>
      <c r="AP22" s="1733"/>
      <c r="AQ22" s="1734"/>
      <c r="AS22" s="548"/>
      <c r="AT22" s="551" t="str">
        <f>IF(SPONSORADDRESS2="","","戸籍住所：  "&amp;SPONSORADDRESS2)</f>
        <v/>
      </c>
      <c r="AU22" s="3"/>
      <c r="AV22" s="3"/>
      <c r="AW22" s="553"/>
      <c r="AX22" s="553"/>
      <c r="AY22" s="3"/>
      <c r="AZ22" s="3"/>
      <c r="BA22" s="3"/>
      <c r="BB22" s="3"/>
      <c r="BC22" s="3"/>
      <c r="BD22" s="3"/>
      <c r="BE22" s="3"/>
      <c r="BF22" s="3"/>
      <c r="BG22" s="3"/>
      <c r="BH22" s="3"/>
      <c r="BI22" s="3"/>
      <c r="BJ22" s="3"/>
      <c r="BK22" s="3"/>
      <c r="BL22" s="3"/>
      <c r="BM22" s="3"/>
      <c r="BN22" s="3"/>
      <c r="BO22" s="3"/>
      <c r="BP22" s="3"/>
    </row>
    <row r="23" spans="1:68" s="535" customFormat="1" ht="15" customHeight="1">
      <c r="A23" s="1632" t="s">
        <v>48</v>
      </c>
      <c r="B23" s="1486"/>
      <c r="C23" s="1486"/>
      <c r="D23" s="1486"/>
      <c r="E23" s="1486"/>
      <c r="F23" s="1486"/>
      <c r="G23" s="1487"/>
      <c r="H23" s="1328" t="str">
        <f>Information!H68</f>
        <v/>
      </c>
      <c r="I23" s="1329"/>
      <c r="J23" s="1329"/>
      <c r="K23" s="1429">
        <f>Information!K68</f>
        <v>0</v>
      </c>
      <c r="L23" s="1429"/>
      <c r="M23" s="1429"/>
      <c r="N23" s="1429"/>
      <c r="O23" s="1429"/>
      <c r="P23" s="1429"/>
      <c r="Q23" s="1429"/>
      <c r="R23" s="1429"/>
      <c r="S23" s="1429"/>
      <c r="T23" s="1429"/>
      <c r="U23" s="1429"/>
      <c r="V23" s="1429"/>
      <c r="W23" s="1429"/>
      <c r="X23" s="1430"/>
      <c r="Y23" s="1328" t="str">
        <f>IF(Information!AE68="","",Information!AB68)</f>
        <v/>
      </c>
      <c r="Z23" s="1329"/>
      <c r="AA23" s="1329"/>
      <c r="AB23" s="1429">
        <f>Information!AE68</f>
        <v>0</v>
      </c>
      <c r="AC23" s="1429"/>
      <c r="AD23" s="1429"/>
      <c r="AE23" s="1429"/>
      <c r="AF23" s="1429"/>
      <c r="AG23" s="1429"/>
      <c r="AH23" s="1429"/>
      <c r="AI23" s="1429"/>
      <c r="AJ23" s="1429"/>
      <c r="AK23" s="1429"/>
      <c r="AL23" s="1429"/>
      <c r="AM23" s="1429"/>
      <c r="AN23" s="1429"/>
      <c r="AO23" s="1429"/>
      <c r="AP23" s="1429"/>
      <c r="AQ23" s="1719"/>
      <c r="AS23" s="548"/>
      <c r="AT23" s="3"/>
      <c r="AU23" s="3"/>
      <c r="AV23" s="3"/>
      <c r="AW23" s="553"/>
      <c r="AX23" s="553"/>
      <c r="AY23" s="3"/>
      <c r="AZ23" s="3"/>
      <c r="BA23" s="3"/>
      <c r="BB23" s="3"/>
      <c r="BC23" s="3"/>
      <c r="BD23" s="3"/>
      <c r="BE23" s="3"/>
      <c r="BF23" s="3"/>
      <c r="BG23" s="3"/>
      <c r="BH23" s="3"/>
      <c r="BI23" s="3"/>
      <c r="BJ23" s="3"/>
      <c r="BK23" s="3"/>
      <c r="BL23" s="3"/>
      <c r="BM23" s="3"/>
      <c r="BN23" s="3"/>
      <c r="BO23" s="3"/>
      <c r="BP23" s="3"/>
    </row>
    <row r="24" spans="1:68" s="535" customFormat="1" ht="15" customHeight="1">
      <c r="A24" s="1712" t="str">
        <f>IF(APNATION="","",VLOOKUP(APNATION,FORMINFO,63,0))</f>
        <v>Telephone Numbers</v>
      </c>
      <c r="B24" s="1713"/>
      <c r="C24" s="1713"/>
      <c r="D24" s="1713"/>
      <c r="E24" s="1713"/>
      <c r="F24" s="1713"/>
      <c r="G24" s="1714"/>
      <c r="H24" s="1716"/>
      <c r="I24" s="1717"/>
      <c r="J24" s="1717"/>
      <c r="K24" s="1431"/>
      <c r="L24" s="1431"/>
      <c r="M24" s="1431"/>
      <c r="N24" s="1431"/>
      <c r="O24" s="1431"/>
      <c r="P24" s="1431"/>
      <c r="Q24" s="1431"/>
      <c r="R24" s="1431"/>
      <c r="S24" s="1431"/>
      <c r="T24" s="1431"/>
      <c r="U24" s="1431"/>
      <c r="V24" s="1431"/>
      <c r="W24" s="1431"/>
      <c r="X24" s="1432"/>
      <c r="Y24" s="1716"/>
      <c r="Z24" s="1717"/>
      <c r="AA24" s="1717"/>
      <c r="AB24" s="1431"/>
      <c r="AC24" s="1431"/>
      <c r="AD24" s="1431"/>
      <c r="AE24" s="1431"/>
      <c r="AF24" s="1431"/>
      <c r="AG24" s="1431"/>
      <c r="AH24" s="1431"/>
      <c r="AI24" s="1431"/>
      <c r="AJ24" s="1431"/>
      <c r="AK24" s="1431"/>
      <c r="AL24" s="1431"/>
      <c r="AM24" s="1431"/>
      <c r="AN24" s="1431"/>
      <c r="AO24" s="1431"/>
      <c r="AP24" s="1431"/>
      <c r="AQ24" s="1720"/>
      <c r="AS24" s="548"/>
      <c r="AT24" s="3"/>
      <c r="AU24" s="3"/>
      <c r="AV24" s="3"/>
      <c r="AW24" s="553"/>
      <c r="AX24" s="553"/>
      <c r="AY24" s="3"/>
      <c r="AZ24" s="3"/>
      <c r="BA24" s="3"/>
      <c r="BB24" s="3"/>
      <c r="BC24" s="3"/>
      <c r="BD24" s="3"/>
      <c r="BE24" s="3"/>
      <c r="BF24" s="3"/>
      <c r="BG24" s="3"/>
      <c r="BH24" s="3"/>
      <c r="BI24" s="3"/>
      <c r="BJ24" s="3"/>
      <c r="BK24" s="3"/>
      <c r="BL24" s="3"/>
      <c r="BM24" s="3"/>
      <c r="BN24" s="3"/>
      <c r="BO24" s="3"/>
      <c r="BP24" s="3"/>
    </row>
    <row r="25" spans="1:68" s="535" customFormat="1" ht="15" customHeight="1">
      <c r="A25" s="1650" t="s">
        <v>49</v>
      </c>
      <c r="B25" s="1525"/>
      <c r="C25" s="1525"/>
      <c r="D25" s="1525"/>
      <c r="E25" s="1525"/>
      <c r="F25" s="1525"/>
      <c r="G25" s="1525"/>
      <c r="H25" s="1322" t="str">
        <f>UPPER(Information!H69)</f>
        <v/>
      </c>
      <c r="I25" s="1323"/>
      <c r="J25" s="1323"/>
      <c r="K25" s="1323"/>
      <c r="L25" s="1323"/>
      <c r="M25" s="1323"/>
      <c r="N25" s="1323"/>
      <c r="O25" s="1323"/>
      <c r="P25" s="1323"/>
      <c r="Q25" s="1323"/>
      <c r="R25" s="1323"/>
      <c r="S25" s="1323"/>
      <c r="T25" s="1323"/>
      <c r="U25" s="1323"/>
      <c r="V25" s="1323"/>
      <c r="W25" s="1323"/>
      <c r="X25" s="1323"/>
      <c r="Y25" s="1323"/>
      <c r="Z25" s="1323"/>
      <c r="AA25" s="1323"/>
      <c r="AB25" s="1323"/>
      <c r="AC25" s="1323"/>
      <c r="AD25" s="1323"/>
      <c r="AE25" s="1323"/>
      <c r="AF25" s="1323"/>
      <c r="AG25" s="1323"/>
      <c r="AH25" s="1323"/>
      <c r="AI25" s="1323"/>
      <c r="AJ25" s="1323"/>
      <c r="AK25" s="1323"/>
      <c r="AL25" s="1323"/>
      <c r="AM25" s="1323"/>
      <c r="AN25" s="1323"/>
      <c r="AO25" s="1323"/>
      <c r="AP25" s="1323"/>
      <c r="AQ25" s="1718"/>
      <c r="AS25" s="548"/>
      <c r="AT25" s="3"/>
      <c r="AU25" s="3"/>
      <c r="AV25" s="3"/>
      <c r="AW25" s="3"/>
      <c r="AX25" s="3"/>
      <c r="AY25" s="3"/>
      <c r="AZ25" s="3"/>
      <c r="BA25" s="3"/>
      <c r="BB25" s="3"/>
      <c r="BC25" s="3"/>
      <c r="BD25" s="3"/>
      <c r="BE25" s="3"/>
      <c r="BF25" s="3"/>
      <c r="BG25" s="3"/>
      <c r="BH25" s="3"/>
      <c r="BI25" s="3"/>
      <c r="BJ25" s="3"/>
      <c r="BK25" s="3"/>
      <c r="BL25" s="3"/>
      <c r="BM25" s="3"/>
      <c r="BN25" s="3"/>
      <c r="BO25" s="3"/>
      <c r="BP25" s="3"/>
    </row>
    <row r="26" spans="1:68" s="535" customFormat="1" ht="15" customHeight="1">
      <c r="A26" s="1710" t="str">
        <f>IF(APNATION="","",VLOOKUP(APNATION,FORMINFO,37,0))</f>
        <v>Workplace Name</v>
      </c>
      <c r="B26" s="1711"/>
      <c r="C26" s="1711"/>
      <c r="D26" s="1711"/>
      <c r="E26" s="1711"/>
      <c r="F26" s="1711"/>
      <c r="G26" s="1711"/>
      <c r="H26" s="1285"/>
      <c r="I26" s="1286"/>
      <c r="J26" s="1286"/>
      <c r="K26" s="1286"/>
      <c r="L26" s="1286"/>
      <c r="M26" s="1286"/>
      <c r="N26" s="1286"/>
      <c r="O26" s="1286"/>
      <c r="P26" s="1286"/>
      <c r="Q26" s="1286"/>
      <c r="R26" s="1286"/>
      <c r="S26" s="1286"/>
      <c r="T26" s="1286"/>
      <c r="U26" s="1286"/>
      <c r="V26" s="1286"/>
      <c r="W26" s="1286"/>
      <c r="X26" s="1286"/>
      <c r="Y26" s="1286"/>
      <c r="Z26" s="1286"/>
      <c r="AA26" s="1286"/>
      <c r="AB26" s="1286"/>
      <c r="AC26" s="1286"/>
      <c r="AD26" s="1286"/>
      <c r="AE26" s="1286"/>
      <c r="AF26" s="1286"/>
      <c r="AG26" s="1286"/>
      <c r="AH26" s="1286"/>
      <c r="AI26" s="1286"/>
      <c r="AJ26" s="1286"/>
      <c r="AK26" s="1286"/>
      <c r="AL26" s="1286"/>
      <c r="AM26" s="1286"/>
      <c r="AN26" s="1286"/>
      <c r="AO26" s="1286"/>
      <c r="AP26" s="1286"/>
      <c r="AQ26" s="1289"/>
      <c r="AS26" s="548"/>
      <c r="AT26" s="3"/>
      <c r="AU26" s="3"/>
      <c r="AV26" s="3"/>
      <c r="AW26" s="3"/>
      <c r="AX26" s="3"/>
      <c r="AY26" s="3"/>
      <c r="AZ26" s="3"/>
      <c r="BA26" s="3"/>
      <c r="BB26" s="3"/>
      <c r="BC26" s="3"/>
      <c r="BD26" s="3"/>
      <c r="BE26" s="3"/>
      <c r="BF26" s="3"/>
      <c r="BG26" s="3"/>
      <c r="BH26" s="3"/>
      <c r="BI26" s="3"/>
      <c r="BJ26" s="3"/>
      <c r="BK26" s="3"/>
      <c r="BL26" s="3"/>
      <c r="BM26" s="3"/>
      <c r="BN26" s="3"/>
      <c r="BO26" s="3"/>
      <c r="BP26" s="3"/>
    </row>
    <row r="27" spans="1:68" s="535" customFormat="1" ht="15" customHeight="1">
      <c r="A27" s="1641" t="s">
        <v>50</v>
      </c>
      <c r="B27" s="1614"/>
      <c r="C27" s="1614"/>
      <c r="D27" s="1614"/>
      <c r="E27" s="1614"/>
      <c r="F27" s="1614"/>
      <c r="G27" s="1642"/>
      <c r="H27" s="1322" t="str">
        <f>UPPER(Information!H70)</f>
        <v/>
      </c>
      <c r="I27" s="1323"/>
      <c r="J27" s="1323"/>
      <c r="K27" s="1323"/>
      <c r="L27" s="1323"/>
      <c r="M27" s="1323"/>
      <c r="N27" s="1323"/>
      <c r="O27" s="1323"/>
      <c r="P27" s="1323"/>
      <c r="Q27" s="1323"/>
      <c r="R27" s="1323"/>
      <c r="S27" s="1323"/>
      <c r="T27" s="1323"/>
      <c r="U27" s="1323"/>
      <c r="V27" s="1323"/>
      <c r="W27" s="1323"/>
      <c r="X27" s="1323"/>
      <c r="Y27" s="1323"/>
      <c r="Z27" s="1323"/>
      <c r="AA27" s="1323"/>
      <c r="AB27" s="1323"/>
      <c r="AC27" s="1323"/>
      <c r="AD27" s="1323"/>
      <c r="AE27" s="1323"/>
      <c r="AF27" s="1323"/>
      <c r="AG27" s="1323"/>
      <c r="AH27" s="1323"/>
      <c r="AI27" s="1323"/>
      <c r="AJ27" s="1323"/>
      <c r="AK27" s="1323"/>
      <c r="AL27" s="1323"/>
      <c r="AM27" s="1323"/>
      <c r="AN27" s="1323"/>
      <c r="AO27" s="1323"/>
      <c r="AP27" s="1323"/>
      <c r="AQ27" s="1718"/>
      <c r="AS27" s="548"/>
      <c r="AT27" s="3"/>
      <c r="AU27" s="3"/>
      <c r="AV27" s="3"/>
      <c r="AW27" s="3"/>
      <c r="AX27" s="3"/>
      <c r="AY27" s="3"/>
      <c r="AZ27" s="3"/>
      <c r="BA27" s="3"/>
      <c r="BB27" s="3"/>
      <c r="BC27" s="3"/>
      <c r="BD27" s="3"/>
      <c r="BE27" s="3"/>
      <c r="BF27" s="3"/>
      <c r="BG27" s="3"/>
      <c r="BH27" s="3"/>
      <c r="BI27" s="3"/>
      <c r="BJ27" s="3"/>
      <c r="BK27" s="3"/>
      <c r="BL27" s="3"/>
      <c r="BM27" s="3"/>
      <c r="BN27" s="3"/>
      <c r="BO27" s="3"/>
      <c r="BP27" s="3"/>
    </row>
    <row r="28" spans="1:68" s="535" customFormat="1" ht="15" customHeight="1">
      <c r="A28" s="1712" t="str">
        <f>IF(APNATION="","",VLOOKUP(APNATION,FORMINFO,38,0))</f>
        <v>Work Address</v>
      </c>
      <c r="B28" s="1713"/>
      <c r="C28" s="1713"/>
      <c r="D28" s="1713"/>
      <c r="E28" s="1713"/>
      <c r="F28" s="1713"/>
      <c r="G28" s="1714"/>
      <c r="H28" s="1285"/>
      <c r="I28" s="1286"/>
      <c r="J28" s="1286"/>
      <c r="K28" s="1286"/>
      <c r="L28" s="1286"/>
      <c r="M28" s="1286"/>
      <c r="N28" s="1286"/>
      <c r="O28" s="1286"/>
      <c r="P28" s="1286"/>
      <c r="Q28" s="1286"/>
      <c r="R28" s="1286"/>
      <c r="S28" s="1286"/>
      <c r="T28" s="1286"/>
      <c r="U28" s="1286"/>
      <c r="V28" s="1286"/>
      <c r="W28" s="1286"/>
      <c r="X28" s="1286"/>
      <c r="Y28" s="1286"/>
      <c r="Z28" s="1286"/>
      <c r="AA28" s="1286"/>
      <c r="AB28" s="1286"/>
      <c r="AC28" s="1286"/>
      <c r="AD28" s="1286"/>
      <c r="AE28" s="1286"/>
      <c r="AF28" s="1286"/>
      <c r="AG28" s="1286"/>
      <c r="AH28" s="1286"/>
      <c r="AI28" s="1286"/>
      <c r="AJ28" s="1286"/>
      <c r="AK28" s="1286"/>
      <c r="AL28" s="1286"/>
      <c r="AM28" s="1286"/>
      <c r="AN28" s="1286"/>
      <c r="AO28" s="1286"/>
      <c r="AP28" s="1286"/>
      <c r="AQ28" s="1289"/>
      <c r="AS28" s="548"/>
      <c r="AT28" s="3"/>
      <c r="AU28" s="3"/>
      <c r="AV28" s="3"/>
      <c r="AW28" s="3"/>
      <c r="AX28" s="3"/>
      <c r="AY28" s="3"/>
      <c r="AZ28" s="3"/>
      <c r="BA28" s="3"/>
      <c r="BB28" s="3"/>
      <c r="BC28" s="3"/>
      <c r="BD28" s="3"/>
      <c r="BE28" s="3"/>
      <c r="BF28" s="3"/>
      <c r="BG28" s="3"/>
      <c r="BH28" s="3"/>
      <c r="BI28" s="3"/>
      <c r="BJ28" s="3"/>
      <c r="BK28" s="3"/>
      <c r="BL28" s="3"/>
      <c r="BM28" s="3"/>
      <c r="BN28" s="3"/>
      <c r="BO28" s="3"/>
      <c r="BP28" s="3"/>
    </row>
    <row r="29" spans="1:68" s="535" customFormat="1" ht="15" customHeight="1">
      <c r="A29" s="1632" t="s">
        <v>51</v>
      </c>
      <c r="B29" s="1486"/>
      <c r="C29" s="1486"/>
      <c r="D29" s="1486"/>
      <c r="E29" s="1486"/>
      <c r="F29" s="1486"/>
      <c r="G29" s="1487"/>
      <c r="H29" s="1322" t="str">
        <f>UPPER(Information!H71)</f>
        <v/>
      </c>
      <c r="I29" s="1323"/>
      <c r="J29" s="1323"/>
      <c r="K29" s="1323"/>
      <c r="L29" s="1323"/>
      <c r="M29" s="1323"/>
      <c r="N29" s="1323"/>
      <c r="O29" s="1323"/>
      <c r="P29" s="1323"/>
      <c r="Q29" s="1323"/>
      <c r="R29" s="1323"/>
      <c r="S29" s="1323"/>
      <c r="T29" s="1324"/>
      <c r="U29" s="1485" t="s">
        <v>52</v>
      </c>
      <c r="V29" s="1486"/>
      <c r="W29" s="1486"/>
      <c r="X29" s="1486"/>
      <c r="Y29" s="1486"/>
      <c r="Z29" s="1486"/>
      <c r="AA29" s="1487"/>
      <c r="AB29" s="1328" t="str">
        <f>Information!AB71</f>
        <v/>
      </c>
      <c r="AC29" s="1329"/>
      <c r="AD29" s="1329"/>
      <c r="AE29" s="1429">
        <f>Information!AE71</f>
        <v>0</v>
      </c>
      <c r="AF29" s="1429"/>
      <c r="AG29" s="1429"/>
      <c r="AH29" s="1429"/>
      <c r="AI29" s="1429"/>
      <c r="AJ29" s="1429"/>
      <c r="AK29" s="1429"/>
      <c r="AL29" s="1429"/>
      <c r="AM29" s="1429"/>
      <c r="AN29" s="1429"/>
      <c r="AO29" s="1429"/>
      <c r="AP29" s="1429"/>
      <c r="AQ29" s="1719"/>
      <c r="AS29" s="548"/>
      <c r="AT29" s="3"/>
      <c r="AU29" s="3"/>
      <c r="AV29" s="3"/>
      <c r="AW29" s="3"/>
      <c r="AX29" s="3"/>
      <c r="AY29" s="3"/>
      <c r="AZ29" s="3"/>
      <c r="BA29" s="3"/>
      <c r="BB29" s="3"/>
      <c r="BC29" s="3"/>
      <c r="BD29" s="3"/>
      <c r="BE29" s="3"/>
      <c r="BF29" s="3"/>
      <c r="BG29" s="3"/>
      <c r="BH29" s="3"/>
      <c r="BI29" s="3"/>
      <c r="BJ29" s="3"/>
      <c r="BK29" s="3"/>
      <c r="BL29" s="3"/>
      <c r="BM29" s="3"/>
      <c r="BN29" s="3"/>
      <c r="BO29" s="3"/>
      <c r="BP29" s="3"/>
    </row>
    <row r="30" spans="1:68" s="535" customFormat="1" ht="15" customHeight="1">
      <c r="A30" s="1712" t="str">
        <f>IF(APNATION="","",VLOOKUP(APNATION,FORMINFO,64,0))</f>
        <v>Business Type / Industry</v>
      </c>
      <c r="B30" s="1713"/>
      <c r="C30" s="1713"/>
      <c r="D30" s="1713"/>
      <c r="E30" s="1713"/>
      <c r="F30" s="1713"/>
      <c r="G30" s="1714"/>
      <c r="H30" s="1285"/>
      <c r="I30" s="1286"/>
      <c r="J30" s="1286"/>
      <c r="K30" s="1286"/>
      <c r="L30" s="1286"/>
      <c r="M30" s="1286"/>
      <c r="N30" s="1286"/>
      <c r="O30" s="1286"/>
      <c r="P30" s="1286"/>
      <c r="Q30" s="1286"/>
      <c r="R30" s="1286"/>
      <c r="S30" s="1286"/>
      <c r="T30" s="1287"/>
      <c r="U30" s="1715" t="str">
        <f>IF(APNATION="","",VLOOKUP(APNATION,FORMINFO,65,0))</f>
        <v>Work Telephone Number</v>
      </c>
      <c r="V30" s="1634"/>
      <c r="W30" s="1634"/>
      <c r="X30" s="1634"/>
      <c r="Y30" s="1634"/>
      <c r="Z30" s="1634"/>
      <c r="AA30" s="1635"/>
      <c r="AB30" s="1716"/>
      <c r="AC30" s="1717"/>
      <c r="AD30" s="1717"/>
      <c r="AE30" s="1431"/>
      <c r="AF30" s="1431"/>
      <c r="AG30" s="1431"/>
      <c r="AH30" s="1431"/>
      <c r="AI30" s="1431"/>
      <c r="AJ30" s="1431"/>
      <c r="AK30" s="1431"/>
      <c r="AL30" s="1431"/>
      <c r="AM30" s="1431"/>
      <c r="AN30" s="1431"/>
      <c r="AO30" s="1431"/>
      <c r="AP30" s="1431"/>
      <c r="AQ30" s="1720"/>
      <c r="AS30" s="548"/>
      <c r="AT30" s="3"/>
      <c r="AU30" s="3"/>
      <c r="AV30" s="3"/>
      <c r="AW30" s="3"/>
      <c r="AX30" s="3"/>
      <c r="AY30" s="3"/>
      <c r="AZ30" s="3"/>
      <c r="BA30" s="3"/>
      <c r="BB30" s="3"/>
      <c r="BC30" s="3"/>
      <c r="BD30" s="3"/>
      <c r="BE30" s="3"/>
      <c r="BF30" s="3"/>
      <c r="BG30" s="3"/>
      <c r="BH30" s="3"/>
      <c r="BI30" s="3"/>
      <c r="BJ30" s="3"/>
      <c r="BK30" s="3"/>
      <c r="BL30" s="3"/>
      <c r="BM30" s="3"/>
      <c r="BN30" s="3"/>
      <c r="BO30" s="3"/>
      <c r="BP30" s="3"/>
    </row>
    <row r="31" spans="1:68" s="535" customFormat="1" ht="15" customHeight="1">
      <c r="A31" s="1650" t="s">
        <v>53</v>
      </c>
      <c r="B31" s="1525"/>
      <c r="C31" s="1525"/>
      <c r="D31" s="1525"/>
      <c r="E31" s="1525"/>
      <c r="F31" s="1525"/>
      <c r="G31" s="1525"/>
      <c r="H31" s="1322" t="str">
        <f>UPPER(IF(Information!H72="","",INDEX(JOBSINDEX,MATCH(Information!H72,JOBSMATCH,0))))</f>
        <v/>
      </c>
      <c r="I31" s="1323"/>
      <c r="J31" s="1323"/>
      <c r="K31" s="1323"/>
      <c r="L31" s="1323"/>
      <c r="M31" s="1323"/>
      <c r="N31" s="1323"/>
      <c r="O31" s="1323"/>
      <c r="P31" s="1323"/>
      <c r="Q31" s="1323"/>
      <c r="R31" s="1323"/>
      <c r="S31" s="1323"/>
      <c r="T31" s="1324"/>
      <c r="U31" s="1702" t="s">
        <v>54</v>
      </c>
      <c r="V31" s="1702"/>
      <c r="W31" s="1702"/>
      <c r="X31" s="1702"/>
      <c r="Y31" s="1702"/>
      <c r="Z31" s="1702"/>
      <c r="AA31" s="1702"/>
      <c r="AB31" s="1328" t="str">
        <f>Information!AB72</f>
        <v/>
      </c>
      <c r="AC31" s="1329"/>
      <c r="AD31" s="1329"/>
      <c r="AE31" s="1332">
        <f>Information!AE72</f>
        <v>0</v>
      </c>
      <c r="AF31" s="1332"/>
      <c r="AG31" s="1332"/>
      <c r="AH31" s="1332"/>
      <c r="AI31" s="1332"/>
      <c r="AJ31" s="1332"/>
      <c r="AK31" s="1332"/>
      <c r="AL31" s="1332"/>
      <c r="AM31" s="1332"/>
      <c r="AN31" s="1332"/>
      <c r="AO31" s="1332"/>
      <c r="AP31" s="1332"/>
      <c r="AQ31" s="1333"/>
      <c r="AS31" s="548"/>
      <c r="AT31" s="3"/>
      <c r="AU31" s="3"/>
      <c r="AV31" s="3"/>
      <c r="AW31" s="553"/>
      <c r="AX31" s="553"/>
      <c r="AY31" s="3"/>
      <c r="AZ31" s="3"/>
      <c r="BA31" s="3"/>
      <c r="BB31" s="3"/>
      <c r="BC31" s="3"/>
      <c r="BD31" s="3"/>
      <c r="BE31" s="3"/>
      <c r="BF31" s="3"/>
      <c r="BG31" s="3"/>
      <c r="BH31" s="3"/>
      <c r="BI31" s="3"/>
      <c r="BJ31" s="3"/>
      <c r="BK31" s="3"/>
      <c r="BL31" s="3"/>
      <c r="BM31" s="3"/>
      <c r="BN31" s="3"/>
      <c r="BO31" s="3"/>
      <c r="BP31" s="3"/>
    </row>
    <row r="32" spans="1:68" s="535" customFormat="1" ht="15" customHeight="1">
      <c r="A32" s="1621" t="str">
        <f>IF(APNATION="","",VLOOKUP(APNATION,FORMINFO,66,0))</f>
        <v>Position at Company</v>
      </c>
      <c r="B32" s="1622"/>
      <c r="C32" s="1622"/>
      <c r="D32" s="1622"/>
      <c r="E32" s="1622"/>
      <c r="F32" s="1622"/>
      <c r="G32" s="1622"/>
      <c r="H32" s="1325"/>
      <c r="I32" s="1326"/>
      <c r="J32" s="1326"/>
      <c r="K32" s="1326"/>
      <c r="L32" s="1326"/>
      <c r="M32" s="1326"/>
      <c r="N32" s="1326"/>
      <c r="O32" s="1326"/>
      <c r="P32" s="1326"/>
      <c r="Q32" s="1326"/>
      <c r="R32" s="1326"/>
      <c r="S32" s="1326"/>
      <c r="T32" s="1327"/>
      <c r="U32" s="1492" t="str">
        <f>IF(APNATION="","",VLOOKUP(APNATION,FORMINFO,67,0))</f>
        <v>Annual Income</v>
      </c>
      <c r="V32" s="1492"/>
      <c r="W32" s="1492"/>
      <c r="X32" s="1492"/>
      <c r="Y32" s="1492"/>
      <c r="Z32" s="1492"/>
      <c r="AA32" s="1492"/>
      <c r="AB32" s="1330"/>
      <c r="AC32" s="1331"/>
      <c r="AD32" s="1331"/>
      <c r="AE32" s="1334"/>
      <c r="AF32" s="1334"/>
      <c r="AG32" s="1334"/>
      <c r="AH32" s="1334"/>
      <c r="AI32" s="1334"/>
      <c r="AJ32" s="1334"/>
      <c r="AK32" s="1334"/>
      <c r="AL32" s="1334"/>
      <c r="AM32" s="1334"/>
      <c r="AN32" s="1334"/>
      <c r="AO32" s="1334"/>
      <c r="AP32" s="1334"/>
      <c r="AQ32" s="1335"/>
      <c r="AS32" s="548"/>
      <c r="AT32" s="3"/>
      <c r="AU32" s="3"/>
      <c r="AV32" s="3"/>
      <c r="AW32" s="553"/>
      <c r="AX32" s="553"/>
      <c r="AY32" s="3"/>
      <c r="AZ32" s="3"/>
      <c r="BA32" s="3"/>
      <c r="BB32" s="3"/>
      <c r="BC32" s="3"/>
      <c r="BD32" s="3"/>
      <c r="BE32" s="3"/>
      <c r="BF32" s="3"/>
      <c r="BG32" s="3"/>
      <c r="BH32" s="3"/>
      <c r="BI32" s="3"/>
      <c r="BJ32" s="3"/>
      <c r="BK32" s="3"/>
      <c r="BL32" s="3"/>
      <c r="BM32" s="3"/>
      <c r="BN32" s="3"/>
      <c r="BO32" s="3"/>
      <c r="BP32" s="3"/>
    </row>
    <row r="33" spans="1:68" s="535" customFormat="1" ht="15" customHeight="1">
      <c r="A33" s="1585" t="s">
        <v>55</v>
      </c>
      <c r="B33" s="1585"/>
      <c r="C33" s="1585"/>
      <c r="D33" s="1585"/>
      <c r="E33" s="1585"/>
      <c r="F33" s="1585"/>
      <c r="G33" s="1585"/>
      <c r="H33" s="1585"/>
      <c r="I33" s="1585"/>
      <c r="J33" s="1585"/>
      <c r="K33" s="1585"/>
      <c r="L33" s="1585"/>
      <c r="M33" s="1585"/>
      <c r="N33" s="1585"/>
      <c r="O33" s="1585"/>
      <c r="P33" s="1585"/>
      <c r="Q33" s="1585"/>
      <c r="R33" s="1585"/>
      <c r="S33" s="1585"/>
      <c r="T33" s="1585"/>
      <c r="U33" s="1585"/>
      <c r="V33" s="1585"/>
      <c r="W33" s="1585"/>
      <c r="X33" s="1585"/>
      <c r="Y33" s="1585"/>
      <c r="Z33" s="1585"/>
      <c r="AA33" s="1585"/>
      <c r="AB33" s="1585"/>
      <c r="AC33" s="1585"/>
      <c r="AD33" s="1585"/>
      <c r="AE33" s="1585"/>
      <c r="AF33" s="1585"/>
      <c r="AG33" s="1585"/>
      <c r="AH33" s="1585"/>
      <c r="AI33" s="1585"/>
      <c r="AJ33" s="1585"/>
      <c r="AK33" s="1585"/>
      <c r="AL33" s="1585"/>
      <c r="AM33" s="1585"/>
      <c r="AN33" s="1585"/>
      <c r="AO33" s="1585"/>
      <c r="AP33" s="1585"/>
      <c r="AQ33" s="1585"/>
      <c r="AS33" s="548"/>
      <c r="AT33" s="3"/>
      <c r="AU33" s="550"/>
      <c r="AV33" s="3"/>
      <c r="AW33" s="553"/>
      <c r="AX33" s="553"/>
      <c r="AY33" s="3"/>
      <c r="AZ33" s="3"/>
      <c r="BA33" s="3"/>
      <c r="BB33" s="3"/>
      <c r="BC33" s="3"/>
      <c r="BD33" s="3"/>
      <c r="BE33" s="3"/>
      <c r="BF33" s="3"/>
      <c r="BG33" s="3"/>
      <c r="BH33" s="3"/>
      <c r="BI33" s="3"/>
      <c r="BJ33" s="3"/>
      <c r="BK33" s="3"/>
      <c r="BL33" s="3"/>
      <c r="BM33" s="3"/>
      <c r="BN33" s="3"/>
      <c r="BO33" s="3"/>
      <c r="BP33" s="3"/>
    </row>
    <row r="34" spans="1:68" s="534" customFormat="1" ht="15" customHeight="1">
      <c r="A34" s="1372" t="str">
        <f>Information!A41</f>
        <v>（日本語能力試験）JLPT</v>
      </c>
      <c r="B34" s="1369"/>
      <c r="C34" s="1369"/>
      <c r="D34" s="1369"/>
      <c r="E34" s="1369"/>
      <c r="F34" s="1369"/>
      <c r="G34" s="1369"/>
      <c r="H34" s="1373"/>
      <c r="I34" s="1368">
        <f>Information!P41</f>
        <v>0</v>
      </c>
      <c r="J34" s="1369"/>
      <c r="K34" s="1703" t="s">
        <v>56</v>
      </c>
      <c r="L34" s="1703"/>
      <c r="M34" s="1704"/>
      <c r="N34" s="1700" t="str">
        <f>IF(Information!V41=O35,"■","□")</f>
        <v>□</v>
      </c>
      <c r="O34" s="1705" t="s">
        <v>57</v>
      </c>
      <c r="P34" s="1705"/>
      <c r="Q34" s="1705"/>
      <c r="R34" s="1700" t="str">
        <f>IF(Information!V41=S35,"■","□")</f>
        <v>□</v>
      </c>
      <c r="S34" s="1706" t="s">
        <v>58</v>
      </c>
      <c r="T34" s="1706"/>
      <c r="U34" s="1706"/>
      <c r="V34" s="1706"/>
      <c r="W34" s="1707"/>
      <c r="X34" s="1700" t="str">
        <f>IF(Information!V41=Y35,"■","□")</f>
        <v>□</v>
      </c>
      <c r="Y34" s="1705" t="s">
        <v>59</v>
      </c>
      <c r="Z34" s="1705"/>
      <c r="AA34" s="1705"/>
      <c r="AB34" s="1705"/>
      <c r="AC34" s="1708" t="s">
        <v>60</v>
      </c>
      <c r="AD34" s="1706"/>
      <c r="AE34" s="1706"/>
      <c r="AF34" s="1706"/>
      <c r="AG34" s="1360">
        <f>IFERROR(Information!AF41,"")</f>
        <v>0</v>
      </c>
      <c r="AH34" s="1360"/>
      <c r="AI34" s="1360"/>
      <c r="AJ34" s="1360"/>
      <c r="AK34" s="1360"/>
      <c r="AL34" s="1361"/>
      <c r="AM34" s="1709" t="s">
        <v>61</v>
      </c>
      <c r="AN34" s="1709"/>
      <c r="AO34" s="1340">
        <f>Information!AM41</f>
        <v>0</v>
      </c>
      <c r="AP34" s="1340"/>
      <c r="AQ34" s="1341"/>
      <c r="AS34" s="549"/>
      <c r="AT34" s="3"/>
      <c r="AU34" s="3"/>
      <c r="AV34" s="3"/>
      <c r="AW34" s="553"/>
      <c r="AX34" s="553"/>
      <c r="AY34" s="3"/>
      <c r="AZ34" s="3"/>
      <c r="BA34" s="3"/>
      <c r="BB34" s="3"/>
      <c r="BC34" s="3"/>
      <c r="BD34" s="3"/>
      <c r="BE34" s="3"/>
      <c r="BF34" s="3"/>
      <c r="BG34" s="3"/>
      <c r="BH34" s="3"/>
      <c r="BI34" s="3"/>
      <c r="BJ34" s="3"/>
      <c r="BK34" s="3"/>
      <c r="BL34" s="3"/>
      <c r="BM34" s="3"/>
      <c r="BN34" s="3"/>
      <c r="BO34" s="3"/>
      <c r="BP34" s="3"/>
    </row>
    <row r="35" spans="1:68" s="534" customFormat="1" ht="15" customHeight="1">
      <c r="A35" s="1374"/>
      <c r="B35" s="1371"/>
      <c r="C35" s="1371"/>
      <c r="D35" s="1371"/>
      <c r="E35" s="1371"/>
      <c r="F35" s="1371"/>
      <c r="G35" s="1371"/>
      <c r="H35" s="1375"/>
      <c r="I35" s="1370"/>
      <c r="J35" s="1371"/>
      <c r="K35" s="1687" t="str">
        <f>IF(APNATION="","",VLOOKUP(APNATION,FORMINFO,53,0))</f>
        <v>Grade</v>
      </c>
      <c r="L35" s="1687"/>
      <c r="M35" s="1688"/>
      <c r="N35" s="1701"/>
      <c r="O35" s="1689" t="str">
        <f>IF(APNATION="","",VLOOKUP(APNATION,FORMINFO,54,0))</f>
        <v>Passed</v>
      </c>
      <c r="P35" s="1689"/>
      <c r="Q35" s="1689"/>
      <c r="R35" s="1701"/>
      <c r="S35" s="1690" t="str">
        <f>IF(APNATION="","",VLOOKUP(APNATION,FORMINFO,55,0))</f>
        <v>Awaiting Result</v>
      </c>
      <c r="T35" s="1690"/>
      <c r="U35" s="1690"/>
      <c r="V35" s="1690"/>
      <c r="W35" s="1691"/>
      <c r="X35" s="1701"/>
      <c r="Y35" s="1443" t="str">
        <f>IF(APNATION="","",VLOOKUP(APNATION,SCHOOLINFO,14,0))</f>
        <v>Failed</v>
      </c>
      <c r="Z35" s="1443"/>
      <c r="AA35" s="1443"/>
      <c r="AB35" s="1443"/>
      <c r="AC35" s="1692" t="str">
        <f>IF(APNATION="","",VLOOKUP(APNATION,FORMINFO,56,0))</f>
        <v>Exam Date</v>
      </c>
      <c r="AD35" s="1690"/>
      <c r="AE35" s="1690"/>
      <c r="AF35" s="1690"/>
      <c r="AG35" s="1362"/>
      <c r="AH35" s="1362"/>
      <c r="AI35" s="1362"/>
      <c r="AJ35" s="1362"/>
      <c r="AK35" s="1362"/>
      <c r="AL35" s="1363"/>
      <c r="AM35" s="1693" t="str">
        <f>IF(APNATION="","",VLOOKUP(APNATION,SCHOOLINFO,21,0))</f>
        <v>Score</v>
      </c>
      <c r="AN35" s="1693"/>
      <c r="AO35" s="1292"/>
      <c r="AP35" s="1292"/>
      <c r="AQ35" s="1342"/>
      <c r="AS35" s="549"/>
      <c r="AT35" s="3"/>
      <c r="AU35" s="3"/>
      <c r="AV35" s="3"/>
      <c r="BI35" s="3"/>
      <c r="BJ35" s="3"/>
      <c r="BK35" s="3"/>
      <c r="BL35" s="3"/>
      <c r="BM35" s="3"/>
      <c r="BN35" s="3"/>
      <c r="BO35" s="3"/>
      <c r="BP35" s="3"/>
    </row>
    <row r="36" spans="1:68" s="535" customFormat="1" ht="15" customHeight="1">
      <c r="A36" s="1364" t="str">
        <f>Information!A42</f>
        <v>NAT-TEST</v>
      </c>
      <c r="B36" s="1337"/>
      <c r="C36" s="1337"/>
      <c r="D36" s="1337"/>
      <c r="E36" s="1337"/>
      <c r="F36" s="1337"/>
      <c r="G36" s="1337"/>
      <c r="H36" s="1365"/>
      <c r="I36" s="1336">
        <f>Information!P42</f>
        <v>0</v>
      </c>
      <c r="J36" s="1337"/>
      <c r="K36" s="1694" t="s">
        <v>56</v>
      </c>
      <c r="L36" s="1694"/>
      <c r="M36" s="1695"/>
      <c r="N36" s="1683" t="str">
        <f>IF(Information!V42=O37,"■","□")</f>
        <v>□</v>
      </c>
      <c r="O36" s="1696" t="s">
        <v>57</v>
      </c>
      <c r="P36" s="1696"/>
      <c r="Q36" s="1696"/>
      <c r="R36" s="1685" t="str">
        <f>IF(Information!V42=S37,"■","□")</f>
        <v>□</v>
      </c>
      <c r="S36" s="1697" t="s">
        <v>58</v>
      </c>
      <c r="T36" s="1697"/>
      <c r="U36" s="1697"/>
      <c r="V36" s="1697"/>
      <c r="W36" s="1698"/>
      <c r="X36" s="1683" t="str">
        <f>IF(Information!V42=Y37,"■","□")</f>
        <v>□</v>
      </c>
      <c r="Y36" s="1696" t="s">
        <v>59</v>
      </c>
      <c r="Z36" s="1696"/>
      <c r="AA36" s="1696"/>
      <c r="AB36" s="1696"/>
      <c r="AC36" s="1699" t="s">
        <v>60</v>
      </c>
      <c r="AD36" s="1697"/>
      <c r="AE36" s="1697"/>
      <c r="AF36" s="1697"/>
      <c r="AG36" s="1356">
        <f>IFERROR(Information!AF42,"")</f>
        <v>0</v>
      </c>
      <c r="AH36" s="1356"/>
      <c r="AI36" s="1356"/>
      <c r="AJ36" s="1356"/>
      <c r="AK36" s="1356"/>
      <c r="AL36" s="1357"/>
      <c r="AM36" s="1523" t="s">
        <v>61</v>
      </c>
      <c r="AN36" s="1523"/>
      <c r="AO36" s="1343">
        <f>Information!AM42</f>
        <v>0</v>
      </c>
      <c r="AP36" s="1343"/>
      <c r="AQ36" s="1344"/>
      <c r="AS36" s="548"/>
      <c r="AT36" s="3"/>
      <c r="AU36" s="3"/>
      <c r="AV36" s="3"/>
      <c r="BI36" s="3"/>
      <c r="BJ36" s="3"/>
      <c r="BK36" s="3"/>
      <c r="BL36" s="3"/>
      <c r="BM36" s="3"/>
      <c r="BN36" s="3"/>
      <c r="BO36" s="3"/>
      <c r="BP36" s="3"/>
    </row>
    <row r="37" spans="1:68" s="535" customFormat="1" ht="15" customHeight="1">
      <c r="A37" s="1366"/>
      <c r="B37" s="1339"/>
      <c r="C37" s="1339"/>
      <c r="D37" s="1339"/>
      <c r="E37" s="1339"/>
      <c r="F37" s="1339"/>
      <c r="G37" s="1339"/>
      <c r="H37" s="1367"/>
      <c r="I37" s="1338"/>
      <c r="J37" s="1339"/>
      <c r="K37" s="1334" t="str">
        <f>IF(APNATION="","",VLOOKUP(APNATION,FORMINFO,53,0))</f>
        <v>Grade</v>
      </c>
      <c r="L37" s="1334"/>
      <c r="M37" s="1676"/>
      <c r="N37" s="1684"/>
      <c r="O37" s="1677" t="str">
        <f>IF(APNATION="","",VLOOKUP(APNATION,FORMINFO,54,0))</f>
        <v>Passed</v>
      </c>
      <c r="P37" s="1677"/>
      <c r="Q37" s="1677"/>
      <c r="R37" s="1686"/>
      <c r="S37" s="1678" t="str">
        <f>IF(APNATION="","",VLOOKUP(APNATION,FORMINFO,55,0))</f>
        <v>Awaiting Result</v>
      </c>
      <c r="T37" s="1678"/>
      <c r="U37" s="1678"/>
      <c r="V37" s="1678"/>
      <c r="W37" s="1679"/>
      <c r="X37" s="1684"/>
      <c r="Y37" s="1467" t="str">
        <f>IF(APNATION="","",VLOOKUP(APNATION,SCHOOLINFO,14,0))</f>
        <v>Failed</v>
      </c>
      <c r="Z37" s="1467"/>
      <c r="AA37" s="1467"/>
      <c r="AB37" s="1467"/>
      <c r="AC37" s="1680" t="str">
        <f>IF(APNATION="","",VLOOKUP(APNATION,FORMINFO,56,0))</f>
        <v>Exam Date</v>
      </c>
      <c r="AD37" s="1678"/>
      <c r="AE37" s="1678"/>
      <c r="AF37" s="1678"/>
      <c r="AG37" s="1358"/>
      <c r="AH37" s="1358"/>
      <c r="AI37" s="1358"/>
      <c r="AJ37" s="1358"/>
      <c r="AK37" s="1358"/>
      <c r="AL37" s="1359"/>
      <c r="AM37" s="1681" t="str">
        <f>IF(APNATION="","",VLOOKUP(APNATION,SCHOOLINFO,21,0))</f>
        <v>Score</v>
      </c>
      <c r="AN37" s="1681"/>
      <c r="AO37" s="1345"/>
      <c r="AP37" s="1345"/>
      <c r="AQ37" s="1346"/>
      <c r="AS37" s="548"/>
      <c r="AT37" s="3"/>
      <c r="AU37" s="3"/>
      <c r="AV37" s="3"/>
      <c r="BI37" s="3"/>
      <c r="BJ37" s="3"/>
      <c r="BK37" s="3"/>
      <c r="BL37" s="3"/>
      <c r="BM37" s="3"/>
      <c r="BN37" s="3"/>
      <c r="BO37" s="3"/>
      <c r="BP37" s="3"/>
    </row>
    <row r="38" spans="1:68" s="535" customFormat="1" ht="15" customHeight="1">
      <c r="A38" s="1585" t="s">
        <v>62</v>
      </c>
      <c r="B38" s="1585"/>
      <c r="C38" s="1585"/>
      <c r="D38" s="1585"/>
      <c r="E38" s="1585"/>
      <c r="F38" s="1585"/>
      <c r="G38" s="1585"/>
      <c r="H38" s="1585"/>
      <c r="I38" s="1585"/>
      <c r="J38" s="1585"/>
      <c r="K38" s="1585"/>
      <c r="L38" s="1585"/>
      <c r="M38" s="1585"/>
      <c r="N38" s="1585"/>
      <c r="O38" s="1585"/>
      <c r="P38" s="1585"/>
      <c r="Q38" s="1585"/>
      <c r="R38" s="1585"/>
      <c r="S38" s="1585"/>
      <c r="T38" s="1585"/>
      <c r="U38" s="1585"/>
      <c r="V38" s="1585"/>
      <c r="W38" s="1585"/>
      <c r="X38" s="1585"/>
      <c r="Y38" s="1585"/>
      <c r="Z38" s="1585"/>
      <c r="AA38" s="1585"/>
      <c r="AB38" s="1585"/>
      <c r="AC38" s="1585"/>
      <c r="AD38" s="1585"/>
      <c r="AE38" s="1585"/>
      <c r="AF38" s="1585"/>
      <c r="AG38" s="1585"/>
      <c r="AH38" s="1585"/>
      <c r="AI38" s="1585"/>
      <c r="AJ38" s="1585"/>
      <c r="AK38" s="1585"/>
      <c r="AL38" s="1585"/>
      <c r="AM38" s="1585"/>
      <c r="AN38" s="1585"/>
      <c r="AO38" s="1585"/>
      <c r="AP38" s="1585"/>
      <c r="AQ38" s="1585"/>
      <c r="AS38" s="548"/>
      <c r="AT38" s="3"/>
      <c r="AU38" s="3"/>
      <c r="AV38" s="3"/>
      <c r="BI38" s="3"/>
      <c r="BJ38" s="3"/>
      <c r="BK38" s="3"/>
      <c r="BL38" s="3"/>
      <c r="BM38" s="3"/>
      <c r="BN38" s="3"/>
      <c r="BO38" s="3"/>
      <c r="BP38" s="3"/>
    </row>
    <row r="39" spans="1:68" s="535" customFormat="1" ht="15" customHeight="1">
      <c r="A39" s="1586" t="s">
        <v>63</v>
      </c>
      <c r="B39" s="1587"/>
      <c r="C39" s="1587"/>
      <c r="D39" s="1587"/>
      <c r="E39" s="1682"/>
      <c r="F39" s="1666" t="str">
        <f>UPPER(Information!F51)</f>
        <v/>
      </c>
      <c r="G39" s="1667"/>
      <c r="H39" s="1667"/>
      <c r="I39" s="1667"/>
      <c r="J39" s="1667"/>
      <c r="K39" s="1667"/>
      <c r="L39" s="1667"/>
      <c r="M39" s="1667"/>
      <c r="N39" s="1667"/>
      <c r="O39" s="1667"/>
      <c r="P39" s="1675"/>
      <c r="Q39" s="1587" t="s">
        <v>64</v>
      </c>
      <c r="R39" s="1587"/>
      <c r="S39" s="1587"/>
      <c r="T39" s="1587"/>
      <c r="U39" s="1587"/>
      <c r="V39" s="1587"/>
      <c r="W39" s="1669">
        <f>Information!W51</f>
        <v>0</v>
      </c>
      <c r="X39" s="1670"/>
      <c r="Y39" s="1670"/>
      <c r="Z39" s="1670"/>
      <c r="AA39" s="1670"/>
      <c r="AB39" s="1670"/>
      <c r="AC39" s="1670"/>
      <c r="AD39" s="1671"/>
      <c r="AE39" s="1587" t="s">
        <v>65</v>
      </c>
      <c r="AF39" s="1587"/>
      <c r="AG39" s="1587"/>
      <c r="AH39" s="1587"/>
      <c r="AI39" s="1587"/>
      <c r="AJ39" s="1666" t="str">
        <f>UPPER(IF(Information!AJ51="","",INDEX(JOBSINDEX,MATCH(Information!AJ51,JOBSMATCH,0))))</f>
        <v/>
      </c>
      <c r="AK39" s="1667"/>
      <c r="AL39" s="1667"/>
      <c r="AM39" s="1667"/>
      <c r="AN39" s="1667"/>
      <c r="AO39" s="1667"/>
      <c r="AP39" s="1667"/>
      <c r="AQ39" s="1668"/>
      <c r="AS39" s="548"/>
      <c r="AT39" s="552"/>
      <c r="AU39" s="3"/>
      <c r="AV39" s="3"/>
      <c r="AW39" s="553"/>
      <c r="AX39" s="3"/>
      <c r="AY39" s="3"/>
      <c r="BG39" s="3"/>
      <c r="BH39" s="3"/>
      <c r="BI39" s="3"/>
      <c r="BJ39" s="3"/>
      <c r="BK39" s="3"/>
      <c r="BL39" s="3"/>
      <c r="BM39" s="3"/>
      <c r="BN39" s="3"/>
      <c r="BO39" s="3"/>
      <c r="BP39" s="3"/>
    </row>
    <row r="40" spans="1:68" s="535" customFormat="1" ht="15" customHeight="1">
      <c r="A40" s="1378" t="str">
        <f>IF(APNATION="","",VLOOKUP(APNATION,NAMETR,2,0))</f>
        <v>Full Name</v>
      </c>
      <c r="B40" s="1379"/>
      <c r="C40" s="1379"/>
      <c r="D40" s="1379"/>
      <c r="E40" s="1380"/>
      <c r="F40" s="1315"/>
      <c r="G40" s="1316"/>
      <c r="H40" s="1316"/>
      <c r="I40" s="1316"/>
      <c r="J40" s="1316"/>
      <c r="K40" s="1316"/>
      <c r="L40" s="1316"/>
      <c r="M40" s="1316"/>
      <c r="N40" s="1316"/>
      <c r="O40" s="1316"/>
      <c r="P40" s="1446"/>
      <c r="Q40" s="1381" t="str">
        <f>IF(APNATION="","",VLOOKUP(APNATION,FORMINFO,12,0))</f>
        <v>Date of Birth</v>
      </c>
      <c r="R40" s="1379"/>
      <c r="S40" s="1379"/>
      <c r="T40" s="1379"/>
      <c r="U40" s="1379"/>
      <c r="V40" s="1380"/>
      <c r="W40" s="1672"/>
      <c r="X40" s="1673"/>
      <c r="Y40" s="1673"/>
      <c r="Z40" s="1673"/>
      <c r="AA40" s="1673"/>
      <c r="AB40" s="1673"/>
      <c r="AC40" s="1673"/>
      <c r="AD40" s="1674"/>
      <c r="AE40" s="1381" t="str">
        <f>IF(APNATION="","",VLOOKUP(APNATION,FORMINFO,19,0))</f>
        <v>Occupation</v>
      </c>
      <c r="AF40" s="1379"/>
      <c r="AG40" s="1379"/>
      <c r="AH40" s="1379"/>
      <c r="AI40" s="1380"/>
      <c r="AJ40" s="1315"/>
      <c r="AK40" s="1316"/>
      <c r="AL40" s="1316"/>
      <c r="AM40" s="1316"/>
      <c r="AN40" s="1316"/>
      <c r="AO40" s="1316"/>
      <c r="AP40" s="1316"/>
      <c r="AQ40" s="1317"/>
      <c r="AS40" s="548"/>
      <c r="AT40" s="552"/>
      <c r="AU40" s="3"/>
      <c r="AV40" s="3"/>
      <c r="AW40" s="553"/>
      <c r="AX40" s="3"/>
      <c r="AY40" s="3"/>
      <c r="AZ40" s="3"/>
      <c r="BA40" s="3"/>
      <c r="BB40" s="3"/>
      <c r="BG40" s="3"/>
      <c r="BH40" s="3"/>
      <c r="BI40" s="3"/>
      <c r="BJ40" s="3"/>
      <c r="BK40" s="3"/>
      <c r="BL40" s="3"/>
      <c r="BM40" s="3"/>
      <c r="BN40" s="3"/>
      <c r="BO40" s="3"/>
      <c r="BP40" s="3"/>
    </row>
    <row r="41" spans="1:68" ht="15" customHeight="1">
      <c r="A41" s="1656" t="s">
        <v>66</v>
      </c>
      <c r="B41" s="1657"/>
      <c r="C41" s="1657"/>
      <c r="D41" s="1657"/>
      <c r="E41" s="1657"/>
      <c r="F41" s="1312" t="str">
        <f>IFERROR(INDEX(FAMILYTRANSLATION,MATCH(Information!F52,FAMILYMATCH,0)),"")</f>
        <v/>
      </c>
      <c r="G41" s="1313"/>
      <c r="H41" s="1313"/>
      <c r="I41" s="1313"/>
      <c r="J41" s="1313"/>
      <c r="K41" s="1313"/>
      <c r="L41" s="1313"/>
      <c r="M41" s="1313"/>
      <c r="N41" s="1313"/>
      <c r="O41" s="1313"/>
      <c r="P41" s="1445"/>
      <c r="Q41" s="1658" t="s">
        <v>67</v>
      </c>
      <c r="R41" s="1658"/>
      <c r="S41" s="1658"/>
      <c r="T41" s="1658"/>
      <c r="U41" s="1658"/>
      <c r="V41" s="1658"/>
      <c r="W41" s="1322" t="str">
        <f>UPPER(IF(Information!W52="","",VLOOKUP(Information!W52,VISATRANSLATION,2,0)))</f>
        <v/>
      </c>
      <c r="X41" s="1323"/>
      <c r="Y41" s="1323"/>
      <c r="Z41" s="1323"/>
      <c r="AA41" s="1323"/>
      <c r="AB41" s="1323"/>
      <c r="AC41" s="1323"/>
      <c r="AD41" s="1324"/>
      <c r="AE41" s="1658" t="s">
        <v>68</v>
      </c>
      <c r="AF41" s="1658"/>
      <c r="AG41" s="1658"/>
      <c r="AH41" s="1658"/>
      <c r="AI41" s="1658"/>
      <c r="AJ41" s="1318" t="str">
        <f>IF(Information!AJ52=AL42,"■","□")</f>
        <v>□</v>
      </c>
      <c r="AK41" s="1319"/>
      <c r="AL41" s="1376" t="s">
        <v>69</v>
      </c>
      <c r="AM41" s="1376"/>
      <c r="AN41" s="1319" t="str">
        <f>IF(Information!AJ52=AO42,"■","□")</f>
        <v>□</v>
      </c>
      <c r="AO41" s="1376" t="s">
        <v>70</v>
      </c>
      <c r="AP41" s="1376"/>
      <c r="AQ41" s="1377"/>
      <c r="AS41" s="548"/>
      <c r="AU41" s="552"/>
      <c r="AX41" s="553"/>
    </row>
    <row r="42" spans="1:68" ht="15" customHeight="1">
      <c r="A42" s="1378" t="str">
        <f>IF(APNATION="","",VLOOKUP(APNATION,FORMINFO,71,0))</f>
        <v>Relationship</v>
      </c>
      <c r="B42" s="1379"/>
      <c r="C42" s="1379"/>
      <c r="D42" s="1379"/>
      <c r="E42" s="1380"/>
      <c r="F42" s="1315"/>
      <c r="G42" s="1316"/>
      <c r="H42" s="1316"/>
      <c r="I42" s="1316"/>
      <c r="J42" s="1316"/>
      <c r="K42" s="1316"/>
      <c r="L42" s="1316"/>
      <c r="M42" s="1316"/>
      <c r="N42" s="1316"/>
      <c r="O42" s="1316"/>
      <c r="P42" s="1446"/>
      <c r="Q42" s="1381" t="str">
        <f>IF(APNATION="","",VLOOKUP(APNATION,FORMINFO,72,0))</f>
        <v>Status of Residence</v>
      </c>
      <c r="R42" s="1379"/>
      <c r="S42" s="1379"/>
      <c r="T42" s="1379"/>
      <c r="U42" s="1379"/>
      <c r="V42" s="1380"/>
      <c r="W42" s="1285"/>
      <c r="X42" s="1286"/>
      <c r="Y42" s="1286"/>
      <c r="Z42" s="1286"/>
      <c r="AA42" s="1286"/>
      <c r="AB42" s="1286"/>
      <c r="AC42" s="1286"/>
      <c r="AD42" s="1287"/>
      <c r="AE42" s="1381" t="str">
        <f>IF(APNATION="","",VLOOKUP(APNATION,FORMINFO,73,0))</f>
        <v>Intend to live together</v>
      </c>
      <c r="AF42" s="1379"/>
      <c r="AG42" s="1379"/>
      <c r="AH42" s="1379"/>
      <c r="AI42" s="1379"/>
      <c r="AJ42" s="1320"/>
      <c r="AK42" s="1321"/>
      <c r="AL42" s="1382" t="str">
        <f>IF(APNATION="","",VLOOKUP(APNATION,FORMINFO,10,0))</f>
        <v>Yes</v>
      </c>
      <c r="AM42" s="1382"/>
      <c r="AN42" s="1321"/>
      <c r="AO42" s="1382" t="str">
        <f>IF(APNATION="","",VLOOKUP(APNATION,FORMINFO,11,0))</f>
        <v>No</v>
      </c>
      <c r="AP42" s="1382"/>
      <c r="AQ42" s="1655"/>
      <c r="AS42" s="548"/>
      <c r="AU42" s="552"/>
      <c r="AX42" s="553"/>
    </row>
    <row r="43" spans="1:68" ht="15" customHeight="1">
      <c r="A43" s="1656" t="s">
        <v>71</v>
      </c>
      <c r="B43" s="1657"/>
      <c r="C43" s="1657"/>
      <c r="D43" s="1657"/>
      <c r="E43" s="1657"/>
      <c r="F43" s="1383" t="str">
        <f>UPPER(IF(Information!F53="","",VLOOKUP(Information!F53,NATIONS,2,0)))&amp;"
"&amp;Information!F53</f>
        <v xml:space="preserve">
</v>
      </c>
      <c r="G43" s="1384"/>
      <c r="H43" s="1384"/>
      <c r="I43" s="1384"/>
      <c r="J43" s="1384"/>
      <c r="K43" s="1384"/>
      <c r="L43" s="1384"/>
      <c r="M43" s="1384"/>
      <c r="N43" s="1384"/>
      <c r="O43" s="1384"/>
      <c r="P43" s="1385"/>
      <c r="Q43" s="1658" t="s">
        <v>72</v>
      </c>
      <c r="R43" s="1658"/>
      <c r="S43" s="1658"/>
      <c r="T43" s="1658"/>
      <c r="U43" s="1658"/>
      <c r="V43" s="1658"/>
      <c r="W43" s="1312" t="str">
        <f>UPPER(Information!W53)</f>
        <v/>
      </c>
      <c r="X43" s="1313"/>
      <c r="Y43" s="1313"/>
      <c r="Z43" s="1313"/>
      <c r="AA43" s="1313"/>
      <c r="AB43" s="1313"/>
      <c r="AC43" s="1313"/>
      <c r="AD43" s="1445"/>
      <c r="AE43" s="1658" t="s">
        <v>73</v>
      </c>
      <c r="AF43" s="1658"/>
      <c r="AG43" s="1658"/>
      <c r="AH43" s="1658"/>
      <c r="AI43" s="1658"/>
      <c r="AJ43" s="1312" t="str">
        <f>UPPER(Information!AJ53)</f>
        <v/>
      </c>
      <c r="AK43" s="1313"/>
      <c r="AL43" s="1313"/>
      <c r="AM43" s="1313"/>
      <c r="AN43" s="1313"/>
      <c r="AO43" s="1313"/>
      <c r="AP43" s="1313"/>
      <c r="AQ43" s="1314"/>
      <c r="AS43" s="548"/>
      <c r="AU43" s="552"/>
      <c r="AX43" s="553"/>
    </row>
    <row r="44" spans="1:68" ht="15" customHeight="1">
      <c r="A44" s="1378" t="str">
        <f>IF(APNATION="","",VLOOKUP(APNATION,FORMINFO,5,0))</f>
        <v>Nationality</v>
      </c>
      <c r="B44" s="1379"/>
      <c r="C44" s="1379"/>
      <c r="D44" s="1379"/>
      <c r="E44" s="1380"/>
      <c r="F44" s="1469"/>
      <c r="G44" s="1470"/>
      <c r="H44" s="1470"/>
      <c r="I44" s="1470"/>
      <c r="J44" s="1470"/>
      <c r="K44" s="1470"/>
      <c r="L44" s="1470"/>
      <c r="M44" s="1470"/>
      <c r="N44" s="1470"/>
      <c r="O44" s="1470"/>
      <c r="P44" s="1471"/>
      <c r="Q44" s="1649" t="str">
        <f>IF(APNATION="","",VLOOKUP(APNATION,FORMINFO,74,0))</f>
        <v>Resident Card Number</v>
      </c>
      <c r="R44" s="1649"/>
      <c r="S44" s="1649"/>
      <c r="T44" s="1649"/>
      <c r="U44" s="1649"/>
      <c r="V44" s="1649"/>
      <c r="W44" s="1315"/>
      <c r="X44" s="1316"/>
      <c r="Y44" s="1316"/>
      <c r="Z44" s="1316"/>
      <c r="AA44" s="1316"/>
      <c r="AB44" s="1316"/>
      <c r="AC44" s="1316"/>
      <c r="AD44" s="1446"/>
      <c r="AE44" s="1381" t="str">
        <f>IF(APNATION="","",VLOOKUP(APNATION,FORMINFO,75,0))</f>
        <v>Work or School Name</v>
      </c>
      <c r="AF44" s="1379"/>
      <c r="AG44" s="1379"/>
      <c r="AH44" s="1379"/>
      <c r="AI44" s="1380"/>
      <c r="AJ44" s="1315"/>
      <c r="AK44" s="1316"/>
      <c r="AL44" s="1316"/>
      <c r="AM44" s="1316"/>
      <c r="AN44" s="1316"/>
      <c r="AO44" s="1316"/>
      <c r="AP44" s="1316"/>
      <c r="AQ44" s="1317"/>
      <c r="AS44" s="548"/>
      <c r="AU44" s="552"/>
      <c r="AX44" s="553"/>
    </row>
    <row r="45" spans="1:68" ht="15" customHeight="1">
      <c r="A45" s="1479" t="s">
        <v>74</v>
      </c>
      <c r="B45" s="1480"/>
      <c r="C45" s="1480"/>
      <c r="D45" s="1480"/>
      <c r="E45" s="1480"/>
      <c r="F45" s="1423" t="str">
        <f>UPPER(Information!F54)</f>
        <v/>
      </c>
      <c r="G45" s="1424"/>
      <c r="H45" s="1424"/>
      <c r="I45" s="1424"/>
      <c r="J45" s="1424"/>
      <c r="K45" s="1424"/>
      <c r="L45" s="1424"/>
      <c r="M45" s="1424"/>
      <c r="N45" s="1424"/>
      <c r="O45" s="1424"/>
      <c r="P45" s="1424"/>
      <c r="Q45" s="1424"/>
      <c r="R45" s="1424"/>
      <c r="S45" s="1424"/>
      <c r="T45" s="1424"/>
      <c r="U45" s="1424"/>
      <c r="V45" s="1424"/>
      <c r="W45" s="1424"/>
      <c r="X45" s="1424"/>
      <c r="Y45" s="1424"/>
      <c r="Z45" s="1424"/>
      <c r="AA45" s="1424"/>
      <c r="AB45" s="1424"/>
      <c r="AC45" s="1424"/>
      <c r="AD45" s="1425"/>
      <c r="AE45" s="1486" t="s">
        <v>75</v>
      </c>
      <c r="AF45" s="1486"/>
      <c r="AG45" s="1486"/>
      <c r="AH45" s="1486"/>
      <c r="AI45" s="1486"/>
      <c r="AJ45" s="1312">
        <f>Information!AJ54</f>
        <v>0</v>
      </c>
      <c r="AK45" s="1313"/>
      <c r="AL45" s="1313"/>
      <c r="AM45" s="1313"/>
      <c r="AN45" s="1313"/>
      <c r="AO45" s="1313"/>
      <c r="AP45" s="1313"/>
      <c r="AQ45" s="1314"/>
      <c r="AS45" s="548"/>
      <c r="AU45" s="552"/>
      <c r="AX45" s="553"/>
    </row>
    <row r="46" spans="1:68" ht="15" customHeight="1">
      <c r="A46" s="1488" t="str">
        <f>IF(APNATION="","",VLOOKUP(APNATION,FORMINFO,20,0))</f>
        <v>Home Address</v>
      </c>
      <c r="B46" s="1489"/>
      <c r="C46" s="1489"/>
      <c r="D46" s="1489"/>
      <c r="E46" s="1489"/>
      <c r="F46" s="1663"/>
      <c r="G46" s="1664"/>
      <c r="H46" s="1664"/>
      <c r="I46" s="1664"/>
      <c r="J46" s="1664"/>
      <c r="K46" s="1664"/>
      <c r="L46" s="1664"/>
      <c r="M46" s="1664"/>
      <c r="N46" s="1664"/>
      <c r="O46" s="1664"/>
      <c r="P46" s="1664"/>
      <c r="Q46" s="1664"/>
      <c r="R46" s="1664"/>
      <c r="S46" s="1664"/>
      <c r="T46" s="1664"/>
      <c r="U46" s="1664"/>
      <c r="V46" s="1664"/>
      <c r="W46" s="1664"/>
      <c r="X46" s="1664"/>
      <c r="Y46" s="1664"/>
      <c r="Z46" s="1664"/>
      <c r="AA46" s="1664"/>
      <c r="AB46" s="1664"/>
      <c r="AC46" s="1664"/>
      <c r="AD46" s="1665"/>
      <c r="AE46" s="1491" t="str">
        <f>IF(APNATION="","",VLOOKUP(APNATION,FORMINFO,21,0))</f>
        <v>Telephone Number</v>
      </c>
      <c r="AF46" s="1492"/>
      <c r="AG46" s="1492"/>
      <c r="AH46" s="1492"/>
      <c r="AI46" s="1493"/>
      <c r="AJ46" s="1347"/>
      <c r="AK46" s="1348"/>
      <c r="AL46" s="1348"/>
      <c r="AM46" s="1348"/>
      <c r="AN46" s="1348"/>
      <c r="AO46" s="1348"/>
      <c r="AP46" s="1348"/>
      <c r="AQ46" s="1349"/>
      <c r="AS46" s="548"/>
      <c r="AU46" s="552"/>
      <c r="AX46" s="553"/>
    </row>
    <row r="47" spans="1:68" ht="15" customHeight="1">
      <c r="A47" s="1586" t="s">
        <v>63</v>
      </c>
      <c r="B47" s="1587"/>
      <c r="C47" s="1587"/>
      <c r="D47" s="1587"/>
      <c r="E47" s="1587"/>
      <c r="F47" s="1659" t="str">
        <f>UPPER(Information!F55)</f>
        <v/>
      </c>
      <c r="G47" s="1660"/>
      <c r="H47" s="1660"/>
      <c r="I47" s="1660"/>
      <c r="J47" s="1660"/>
      <c r="K47" s="1660"/>
      <c r="L47" s="1660"/>
      <c r="M47" s="1660"/>
      <c r="N47" s="1660"/>
      <c r="O47" s="1660"/>
      <c r="P47" s="1661"/>
      <c r="Q47" s="1587" t="s">
        <v>64</v>
      </c>
      <c r="R47" s="1587"/>
      <c r="S47" s="1587"/>
      <c r="T47" s="1587"/>
      <c r="U47" s="1587"/>
      <c r="V47" s="1587"/>
      <c r="W47" s="1350">
        <f>Information!W55</f>
        <v>0</v>
      </c>
      <c r="X47" s="1351"/>
      <c r="Y47" s="1351"/>
      <c r="Z47" s="1351"/>
      <c r="AA47" s="1351"/>
      <c r="AB47" s="1351"/>
      <c r="AC47" s="1351"/>
      <c r="AD47" s="1352"/>
      <c r="AE47" s="1587" t="s">
        <v>65</v>
      </c>
      <c r="AF47" s="1587"/>
      <c r="AG47" s="1587"/>
      <c r="AH47" s="1587"/>
      <c r="AI47" s="1587"/>
      <c r="AJ47" s="1659" t="str">
        <f>UPPER(IF(Information!AJ55="","",INDEX(JOBSINDEX,MATCH(Information!AJ55,JOBSMATCH,0))))</f>
        <v/>
      </c>
      <c r="AK47" s="1660"/>
      <c r="AL47" s="1660"/>
      <c r="AM47" s="1660"/>
      <c r="AN47" s="1660"/>
      <c r="AO47" s="1660"/>
      <c r="AP47" s="1660"/>
      <c r="AQ47" s="1662"/>
      <c r="AS47" s="548"/>
      <c r="AU47" s="552"/>
      <c r="AX47" s="553"/>
    </row>
    <row r="48" spans="1:68" ht="15" customHeight="1">
      <c r="A48" s="1378" t="str">
        <f>IF(APNATION="","",VLOOKUP(APNATION,NAMETR,2,0))</f>
        <v>Full Name</v>
      </c>
      <c r="B48" s="1379"/>
      <c r="C48" s="1379"/>
      <c r="D48" s="1379"/>
      <c r="E48" s="1380"/>
      <c r="F48" s="1442"/>
      <c r="G48" s="1443"/>
      <c r="H48" s="1443"/>
      <c r="I48" s="1443"/>
      <c r="J48" s="1443"/>
      <c r="K48" s="1443"/>
      <c r="L48" s="1443"/>
      <c r="M48" s="1443"/>
      <c r="N48" s="1443"/>
      <c r="O48" s="1443"/>
      <c r="P48" s="1448"/>
      <c r="Q48" s="1381" t="str">
        <f>IF(APNATION="","",VLOOKUP(APNATION,FORMINFO,12,0))</f>
        <v>Date of Birth</v>
      </c>
      <c r="R48" s="1379"/>
      <c r="S48" s="1379"/>
      <c r="T48" s="1379"/>
      <c r="U48" s="1379"/>
      <c r="V48" s="1380"/>
      <c r="W48" s="1353"/>
      <c r="X48" s="1354"/>
      <c r="Y48" s="1354"/>
      <c r="Z48" s="1354"/>
      <c r="AA48" s="1354"/>
      <c r="AB48" s="1354"/>
      <c r="AC48" s="1354"/>
      <c r="AD48" s="1355"/>
      <c r="AE48" s="1381" t="str">
        <f>IF(APNATION="","",VLOOKUP(APNATION,FORMINFO,19,0))</f>
        <v>Occupation</v>
      </c>
      <c r="AF48" s="1379"/>
      <c r="AG48" s="1379"/>
      <c r="AH48" s="1379"/>
      <c r="AI48" s="1380"/>
      <c r="AJ48" s="1442"/>
      <c r="AK48" s="1443"/>
      <c r="AL48" s="1443"/>
      <c r="AM48" s="1443"/>
      <c r="AN48" s="1443"/>
      <c r="AO48" s="1443"/>
      <c r="AP48" s="1443"/>
      <c r="AQ48" s="1444"/>
      <c r="AS48" s="548"/>
      <c r="AU48" s="552"/>
      <c r="AX48" s="553"/>
    </row>
    <row r="49" spans="1:68" ht="15" customHeight="1">
      <c r="A49" s="1656" t="s">
        <v>66</v>
      </c>
      <c r="B49" s="1657"/>
      <c r="C49" s="1657"/>
      <c r="D49" s="1657"/>
      <c r="E49" s="1657"/>
      <c r="F49" s="1439" t="str">
        <f>IFERROR(INDEX(FAMILYTRANSLATION,MATCH(Information!F56,FAMILYMATCH,0)),"")</f>
        <v/>
      </c>
      <c r="G49" s="1440"/>
      <c r="H49" s="1440"/>
      <c r="I49" s="1440"/>
      <c r="J49" s="1440"/>
      <c r="K49" s="1440"/>
      <c r="L49" s="1440"/>
      <c r="M49" s="1440"/>
      <c r="N49" s="1440"/>
      <c r="O49" s="1440"/>
      <c r="P49" s="1447"/>
      <c r="Q49" s="1658" t="s">
        <v>67</v>
      </c>
      <c r="R49" s="1658"/>
      <c r="S49" s="1658"/>
      <c r="T49" s="1658"/>
      <c r="U49" s="1658"/>
      <c r="V49" s="1658"/>
      <c r="W49" s="1439" t="str">
        <f>UPPER(IF(Information!W56="","",VLOOKUP(Information!W56,VISATRANSLATION,2,0)))</f>
        <v/>
      </c>
      <c r="X49" s="1440"/>
      <c r="Y49" s="1440"/>
      <c r="Z49" s="1440"/>
      <c r="AA49" s="1440"/>
      <c r="AB49" s="1440"/>
      <c r="AC49" s="1440"/>
      <c r="AD49" s="1447"/>
      <c r="AE49" s="1658" t="s">
        <v>68</v>
      </c>
      <c r="AF49" s="1658"/>
      <c r="AG49" s="1658"/>
      <c r="AH49" s="1658"/>
      <c r="AI49" s="1658"/>
      <c r="AJ49" s="1318" t="str">
        <f>IF(Information!AJ56=AL50,"■","□")</f>
        <v>□</v>
      </c>
      <c r="AK49" s="1319"/>
      <c r="AL49" s="1376" t="s">
        <v>69</v>
      </c>
      <c r="AM49" s="1376"/>
      <c r="AN49" s="1319" t="str">
        <f>IF(Information!AJ56=AO50,"■","□")</f>
        <v>□</v>
      </c>
      <c r="AO49" s="1376" t="s">
        <v>70</v>
      </c>
      <c r="AP49" s="1376"/>
      <c r="AQ49" s="1377"/>
      <c r="AS49" s="548"/>
      <c r="AU49" s="552"/>
      <c r="AX49" s="553"/>
    </row>
    <row r="50" spans="1:68" ht="15" customHeight="1">
      <c r="A50" s="1378" t="str">
        <f>IF(APNATION="","",VLOOKUP(APNATION,FORMINFO,71,0))</f>
        <v>Relationship</v>
      </c>
      <c r="B50" s="1379"/>
      <c r="C50" s="1379"/>
      <c r="D50" s="1379"/>
      <c r="E50" s="1380"/>
      <c r="F50" s="1442"/>
      <c r="G50" s="1443"/>
      <c r="H50" s="1443"/>
      <c r="I50" s="1443"/>
      <c r="J50" s="1443"/>
      <c r="K50" s="1443"/>
      <c r="L50" s="1443"/>
      <c r="M50" s="1443"/>
      <c r="N50" s="1443"/>
      <c r="O50" s="1443"/>
      <c r="P50" s="1448"/>
      <c r="Q50" s="1381" t="str">
        <f>IF(APNATION="","",VLOOKUP(APNATION,FORMINFO,72,0))</f>
        <v>Status of Residence</v>
      </c>
      <c r="R50" s="1379"/>
      <c r="S50" s="1379"/>
      <c r="T50" s="1379"/>
      <c r="U50" s="1379"/>
      <c r="V50" s="1380"/>
      <c r="W50" s="1442"/>
      <c r="X50" s="1443"/>
      <c r="Y50" s="1443"/>
      <c r="Z50" s="1443"/>
      <c r="AA50" s="1443"/>
      <c r="AB50" s="1443"/>
      <c r="AC50" s="1443"/>
      <c r="AD50" s="1448"/>
      <c r="AE50" s="1381" t="str">
        <f>IF(APNATION="","",VLOOKUP(APNATION,FORMINFO,73,0))</f>
        <v>Intend to live together</v>
      </c>
      <c r="AF50" s="1379"/>
      <c r="AG50" s="1379"/>
      <c r="AH50" s="1379"/>
      <c r="AI50" s="1379"/>
      <c r="AJ50" s="1320"/>
      <c r="AK50" s="1321"/>
      <c r="AL50" s="1382" t="str">
        <f>IF(APNATION="","",VLOOKUP(APNATION,FORMINFO,10,0))</f>
        <v>Yes</v>
      </c>
      <c r="AM50" s="1382"/>
      <c r="AN50" s="1321"/>
      <c r="AO50" s="1382" t="str">
        <f>IF(APNATION="","",VLOOKUP(APNATION,FORMINFO,11,0))</f>
        <v>No</v>
      </c>
      <c r="AP50" s="1382"/>
      <c r="AQ50" s="1655"/>
      <c r="AS50" s="548"/>
      <c r="AU50" s="552"/>
      <c r="AX50" s="553"/>
    </row>
    <row r="51" spans="1:68" ht="15" customHeight="1">
      <c r="A51" s="1656" t="s">
        <v>71</v>
      </c>
      <c r="B51" s="1657"/>
      <c r="C51" s="1657"/>
      <c r="D51" s="1657"/>
      <c r="E51" s="1657"/>
      <c r="F51" s="1383" t="str">
        <f>UPPER(IF(Information!F57="","",VLOOKUP(Information!F57,NATIONS,2,0)))&amp;"
"&amp;Information!F57</f>
        <v xml:space="preserve">
</v>
      </c>
      <c r="G51" s="1384"/>
      <c r="H51" s="1384"/>
      <c r="I51" s="1384"/>
      <c r="J51" s="1384"/>
      <c r="K51" s="1384"/>
      <c r="L51" s="1384"/>
      <c r="M51" s="1384"/>
      <c r="N51" s="1384"/>
      <c r="O51" s="1384"/>
      <c r="P51" s="1385"/>
      <c r="Q51" s="1658" t="s">
        <v>72</v>
      </c>
      <c r="R51" s="1658"/>
      <c r="S51" s="1658"/>
      <c r="T51" s="1658"/>
      <c r="U51" s="1658"/>
      <c r="V51" s="1658"/>
      <c r="W51" s="1439" t="str">
        <f>UPPER(Information!W57)</f>
        <v/>
      </c>
      <c r="X51" s="1440"/>
      <c r="Y51" s="1440"/>
      <c r="Z51" s="1440"/>
      <c r="AA51" s="1440"/>
      <c r="AB51" s="1440"/>
      <c r="AC51" s="1440"/>
      <c r="AD51" s="1447"/>
      <c r="AE51" s="1658" t="s">
        <v>73</v>
      </c>
      <c r="AF51" s="1658"/>
      <c r="AG51" s="1658"/>
      <c r="AH51" s="1658"/>
      <c r="AI51" s="1658"/>
      <c r="AJ51" s="1439" t="str">
        <f>UPPER(Information!AJ57)</f>
        <v/>
      </c>
      <c r="AK51" s="1440"/>
      <c r="AL51" s="1440"/>
      <c r="AM51" s="1440"/>
      <c r="AN51" s="1440"/>
      <c r="AO51" s="1440"/>
      <c r="AP51" s="1440"/>
      <c r="AQ51" s="1441"/>
      <c r="AX51" s="553"/>
    </row>
    <row r="52" spans="1:68" ht="15" customHeight="1">
      <c r="A52" s="1378" t="str">
        <f>IF(APNATION="","",VLOOKUP(APNATION,FORMINFO,5,0))</f>
        <v>Nationality</v>
      </c>
      <c r="B52" s="1379"/>
      <c r="C52" s="1379"/>
      <c r="D52" s="1379"/>
      <c r="E52" s="1380"/>
      <c r="F52" s="1469"/>
      <c r="G52" s="1470"/>
      <c r="H52" s="1470"/>
      <c r="I52" s="1470"/>
      <c r="J52" s="1470"/>
      <c r="K52" s="1470"/>
      <c r="L52" s="1470"/>
      <c r="M52" s="1470"/>
      <c r="N52" s="1470"/>
      <c r="O52" s="1470"/>
      <c r="P52" s="1471"/>
      <c r="Q52" s="1649" t="str">
        <f>IF(APNATION="","",VLOOKUP(APNATION,FORMINFO,74,0))</f>
        <v>Resident Card Number</v>
      </c>
      <c r="R52" s="1649"/>
      <c r="S52" s="1649"/>
      <c r="T52" s="1649"/>
      <c r="U52" s="1649"/>
      <c r="V52" s="1649"/>
      <c r="W52" s="1442"/>
      <c r="X52" s="1443"/>
      <c r="Y52" s="1443"/>
      <c r="Z52" s="1443"/>
      <c r="AA52" s="1443"/>
      <c r="AB52" s="1443"/>
      <c r="AC52" s="1443"/>
      <c r="AD52" s="1448"/>
      <c r="AE52" s="1381" t="str">
        <f>IF(APNATION="","",VLOOKUP(APNATION,FORMINFO,75,0))</f>
        <v>Work or School Name</v>
      </c>
      <c r="AF52" s="1379"/>
      <c r="AG52" s="1379"/>
      <c r="AH52" s="1379"/>
      <c r="AI52" s="1380"/>
      <c r="AJ52" s="1442"/>
      <c r="AK52" s="1443"/>
      <c r="AL52" s="1443"/>
      <c r="AM52" s="1443"/>
      <c r="AN52" s="1443"/>
      <c r="AO52" s="1443"/>
      <c r="AP52" s="1443"/>
      <c r="AQ52" s="1444"/>
      <c r="AX52" s="553"/>
    </row>
    <row r="53" spans="1:68" ht="15" customHeight="1">
      <c r="A53" s="1479" t="s">
        <v>74</v>
      </c>
      <c r="B53" s="1480"/>
      <c r="C53" s="1480"/>
      <c r="D53" s="1480"/>
      <c r="E53" s="1480"/>
      <c r="F53" s="1383">
        <f>Information!F58</f>
        <v>0</v>
      </c>
      <c r="G53" s="1384"/>
      <c r="H53" s="1384"/>
      <c r="I53" s="1384"/>
      <c r="J53" s="1384"/>
      <c r="K53" s="1384"/>
      <c r="L53" s="1384"/>
      <c r="M53" s="1384"/>
      <c r="N53" s="1384"/>
      <c r="O53" s="1384"/>
      <c r="P53" s="1384"/>
      <c r="Q53" s="1384"/>
      <c r="R53" s="1384"/>
      <c r="S53" s="1384"/>
      <c r="T53" s="1384"/>
      <c r="U53" s="1384"/>
      <c r="V53" s="1384"/>
      <c r="W53" s="1384"/>
      <c r="X53" s="1384"/>
      <c r="Y53" s="1384"/>
      <c r="Z53" s="1384"/>
      <c r="AA53" s="1384"/>
      <c r="AB53" s="1384"/>
      <c r="AC53" s="1384"/>
      <c r="AD53" s="1385"/>
      <c r="AE53" s="1486" t="s">
        <v>75</v>
      </c>
      <c r="AF53" s="1486"/>
      <c r="AG53" s="1486"/>
      <c r="AH53" s="1486"/>
      <c r="AI53" s="1486"/>
      <c r="AJ53" s="1439">
        <f>Information!AJ58</f>
        <v>0</v>
      </c>
      <c r="AK53" s="1440"/>
      <c r="AL53" s="1440"/>
      <c r="AM53" s="1440"/>
      <c r="AN53" s="1440"/>
      <c r="AO53" s="1440"/>
      <c r="AP53" s="1440"/>
      <c r="AQ53" s="1441"/>
      <c r="AX53" s="553"/>
    </row>
    <row r="54" spans="1:68" ht="15" customHeight="1">
      <c r="A54" s="1488" t="str">
        <f>IF(APNATION="","",VLOOKUP(APNATION,FORMINFO,20,0))</f>
        <v>Home Address</v>
      </c>
      <c r="B54" s="1489"/>
      <c r="C54" s="1489"/>
      <c r="D54" s="1489"/>
      <c r="E54" s="1489"/>
      <c r="F54" s="1386"/>
      <c r="G54" s="1387"/>
      <c r="H54" s="1387"/>
      <c r="I54" s="1387"/>
      <c r="J54" s="1387"/>
      <c r="K54" s="1387"/>
      <c r="L54" s="1387"/>
      <c r="M54" s="1387"/>
      <c r="N54" s="1387"/>
      <c r="O54" s="1387"/>
      <c r="P54" s="1387"/>
      <c r="Q54" s="1387"/>
      <c r="R54" s="1387"/>
      <c r="S54" s="1387"/>
      <c r="T54" s="1387"/>
      <c r="U54" s="1387"/>
      <c r="V54" s="1387"/>
      <c r="W54" s="1387"/>
      <c r="X54" s="1387"/>
      <c r="Y54" s="1387"/>
      <c r="Z54" s="1387"/>
      <c r="AA54" s="1387"/>
      <c r="AB54" s="1387"/>
      <c r="AC54" s="1387"/>
      <c r="AD54" s="1388"/>
      <c r="AE54" s="1492" t="str">
        <f>IF(APNATION="","",VLOOKUP(APNATION,FORMINFO,21,0))</f>
        <v>Telephone Number</v>
      </c>
      <c r="AF54" s="1492"/>
      <c r="AG54" s="1492"/>
      <c r="AH54" s="1492"/>
      <c r="AI54" s="1492"/>
      <c r="AJ54" s="1466"/>
      <c r="AK54" s="1467"/>
      <c r="AL54" s="1467"/>
      <c r="AM54" s="1467"/>
      <c r="AN54" s="1467"/>
      <c r="AO54" s="1467"/>
      <c r="AP54" s="1467"/>
      <c r="AQ54" s="1468"/>
      <c r="AT54" s="546"/>
      <c r="AX54" s="553"/>
    </row>
    <row r="55" spans="1:68" ht="15" customHeight="1">
      <c r="A55" s="1650" t="s">
        <v>63</v>
      </c>
      <c r="B55" s="1525"/>
      <c r="C55" s="1525"/>
      <c r="D55" s="1525"/>
      <c r="E55" s="1651"/>
      <c r="F55" s="1643" t="str">
        <f>UPPER(Information!F59)</f>
        <v/>
      </c>
      <c r="G55" s="1516"/>
      <c r="H55" s="1516"/>
      <c r="I55" s="1516"/>
      <c r="J55" s="1516"/>
      <c r="K55" s="1516"/>
      <c r="L55" s="1516"/>
      <c r="M55" s="1516"/>
      <c r="N55" s="1516"/>
      <c r="O55" s="1516"/>
      <c r="P55" s="1648"/>
      <c r="Q55" s="1652" t="s">
        <v>64</v>
      </c>
      <c r="R55" s="1525"/>
      <c r="S55" s="1525"/>
      <c r="T55" s="1525"/>
      <c r="U55" s="1525"/>
      <c r="V55" s="1651"/>
      <c r="W55" s="1645">
        <f>Information!W59</f>
        <v>0</v>
      </c>
      <c r="X55" s="1646"/>
      <c r="Y55" s="1646"/>
      <c r="Z55" s="1646"/>
      <c r="AA55" s="1646"/>
      <c r="AB55" s="1646"/>
      <c r="AC55" s="1646"/>
      <c r="AD55" s="1647"/>
      <c r="AE55" s="1652" t="s">
        <v>65</v>
      </c>
      <c r="AF55" s="1525"/>
      <c r="AG55" s="1525"/>
      <c r="AH55" s="1525"/>
      <c r="AI55" s="1651"/>
      <c r="AJ55" s="1643" t="str">
        <f>UPPER(IF(Information!AJ59="","",INDEX(JOBSINDEX,MATCH(Information!AJ59,JOBSMATCH,0))))</f>
        <v/>
      </c>
      <c r="AK55" s="1516"/>
      <c r="AL55" s="1516"/>
      <c r="AM55" s="1516"/>
      <c r="AN55" s="1516"/>
      <c r="AO55" s="1516"/>
      <c r="AP55" s="1516"/>
      <c r="AQ55" s="1644"/>
      <c r="AS55" s="548"/>
      <c r="AU55" s="552"/>
      <c r="AX55" s="553"/>
    </row>
    <row r="56" spans="1:68" ht="15" customHeight="1">
      <c r="A56" s="1378" t="str">
        <f>IF(APNATION="","",VLOOKUP(APNATION,NAMETR,2,0))</f>
        <v>Full Name</v>
      </c>
      <c r="B56" s="1379"/>
      <c r="C56" s="1379"/>
      <c r="D56" s="1379"/>
      <c r="E56" s="1380"/>
      <c r="F56" s="1442"/>
      <c r="G56" s="1443"/>
      <c r="H56" s="1443"/>
      <c r="I56" s="1443"/>
      <c r="J56" s="1443"/>
      <c r="K56" s="1443"/>
      <c r="L56" s="1443"/>
      <c r="M56" s="1443"/>
      <c r="N56" s="1443"/>
      <c r="O56" s="1443"/>
      <c r="P56" s="1448"/>
      <c r="Q56" s="1381" t="str">
        <f>IF(APNATION="","",VLOOKUP(APNATION,FORMINFO,12,0))</f>
        <v>Date of Birth</v>
      </c>
      <c r="R56" s="1379"/>
      <c r="S56" s="1379"/>
      <c r="T56" s="1379"/>
      <c r="U56" s="1379"/>
      <c r="V56" s="1380"/>
      <c r="W56" s="1353"/>
      <c r="X56" s="1354"/>
      <c r="Y56" s="1354"/>
      <c r="Z56" s="1354"/>
      <c r="AA56" s="1354"/>
      <c r="AB56" s="1354"/>
      <c r="AC56" s="1354"/>
      <c r="AD56" s="1355"/>
      <c r="AE56" s="1381" t="str">
        <f>IF(APNATION="","",VLOOKUP(APNATION,FORMINFO,19,0))</f>
        <v>Occupation</v>
      </c>
      <c r="AF56" s="1379"/>
      <c r="AG56" s="1379"/>
      <c r="AH56" s="1379"/>
      <c r="AI56" s="1380"/>
      <c r="AJ56" s="1442"/>
      <c r="AK56" s="1443"/>
      <c r="AL56" s="1443"/>
      <c r="AM56" s="1443"/>
      <c r="AN56" s="1443"/>
      <c r="AO56" s="1443"/>
      <c r="AP56" s="1443"/>
      <c r="AQ56" s="1444"/>
      <c r="AS56" s="548"/>
      <c r="AU56" s="552"/>
      <c r="AX56" s="553"/>
    </row>
    <row r="57" spans="1:68" ht="15" customHeight="1">
      <c r="A57" s="1479" t="s">
        <v>66</v>
      </c>
      <c r="B57" s="1480"/>
      <c r="C57" s="1480"/>
      <c r="D57" s="1480"/>
      <c r="E57" s="1481"/>
      <c r="F57" s="1439" t="str">
        <f>IFERROR(INDEX(FAMILYTRANSLATION,MATCH(Information!F60,FAMILYMATCH,0)),"")</f>
        <v/>
      </c>
      <c r="G57" s="1440"/>
      <c r="H57" s="1440"/>
      <c r="I57" s="1440"/>
      <c r="J57" s="1440"/>
      <c r="K57" s="1440"/>
      <c r="L57" s="1440"/>
      <c r="M57" s="1440"/>
      <c r="N57" s="1440"/>
      <c r="O57" s="1440"/>
      <c r="P57" s="1447"/>
      <c r="Q57" s="1482" t="s">
        <v>67</v>
      </c>
      <c r="R57" s="1483"/>
      <c r="S57" s="1483"/>
      <c r="T57" s="1483"/>
      <c r="U57" s="1483"/>
      <c r="V57" s="1484"/>
      <c r="W57" s="1439" t="str">
        <f>UPPER(IF(Information!W60="","",VLOOKUP(Information!W60,VISATRANSLATION,2,0)))</f>
        <v/>
      </c>
      <c r="X57" s="1440"/>
      <c r="Y57" s="1440"/>
      <c r="Z57" s="1440"/>
      <c r="AA57" s="1440"/>
      <c r="AB57" s="1440"/>
      <c r="AC57" s="1440"/>
      <c r="AD57" s="1447"/>
      <c r="AE57" s="1482" t="s">
        <v>68</v>
      </c>
      <c r="AF57" s="1483"/>
      <c r="AG57" s="1483"/>
      <c r="AH57" s="1483"/>
      <c r="AI57" s="1484"/>
      <c r="AJ57" s="1474" t="str">
        <f>IF(Information!AJ60=AL58,"■","□")</f>
        <v>□</v>
      </c>
      <c r="AK57" s="1474"/>
      <c r="AL57" s="1653" t="s">
        <v>69</v>
      </c>
      <c r="AM57" s="1653"/>
      <c r="AN57" s="1474" t="str">
        <f>IF(Information!AJ60=AO58,"■","□")</f>
        <v>□</v>
      </c>
      <c r="AO57" s="1653" t="s">
        <v>70</v>
      </c>
      <c r="AP57" s="1653"/>
      <c r="AQ57" s="1654"/>
      <c r="AS57" s="548"/>
      <c r="AU57" s="552"/>
      <c r="AX57" s="553"/>
    </row>
    <row r="58" spans="1:68" ht="15" customHeight="1">
      <c r="A58" s="1378" t="str">
        <f>IF(APNATION="","",VLOOKUP(APNATION,FORMINFO,71,0))</f>
        <v>Relationship</v>
      </c>
      <c r="B58" s="1379"/>
      <c r="C58" s="1379"/>
      <c r="D58" s="1379"/>
      <c r="E58" s="1380"/>
      <c r="F58" s="1442"/>
      <c r="G58" s="1443"/>
      <c r="H58" s="1443"/>
      <c r="I58" s="1443"/>
      <c r="J58" s="1443"/>
      <c r="K58" s="1443"/>
      <c r="L58" s="1443"/>
      <c r="M58" s="1443"/>
      <c r="N58" s="1443"/>
      <c r="O58" s="1443"/>
      <c r="P58" s="1448"/>
      <c r="Q58" s="1381" t="str">
        <f>IF(APNATION="","",VLOOKUP(APNATION,FORMINFO,72,0))</f>
        <v>Status of Residence</v>
      </c>
      <c r="R58" s="1379"/>
      <c r="S58" s="1379"/>
      <c r="T58" s="1379"/>
      <c r="U58" s="1379"/>
      <c r="V58" s="1380"/>
      <c r="W58" s="1442"/>
      <c r="X58" s="1443"/>
      <c r="Y58" s="1443"/>
      <c r="Z58" s="1443"/>
      <c r="AA58" s="1443"/>
      <c r="AB58" s="1443"/>
      <c r="AC58" s="1443"/>
      <c r="AD58" s="1448"/>
      <c r="AE58" s="1381" t="str">
        <f>IF(APNATION="","",VLOOKUP(APNATION,FORMINFO,73,0))</f>
        <v>Intend to live together</v>
      </c>
      <c r="AF58" s="1379"/>
      <c r="AG58" s="1379"/>
      <c r="AH58" s="1379"/>
      <c r="AI58" s="1380"/>
      <c r="AJ58" s="1474"/>
      <c r="AK58" s="1474"/>
      <c r="AL58" s="1512" t="str">
        <f>IF(APNATION="","",VLOOKUP(APNATION,FORMINFO,10,0))</f>
        <v>Yes</v>
      </c>
      <c r="AM58" s="1512"/>
      <c r="AN58" s="1474"/>
      <c r="AO58" s="1512" t="str">
        <f>IF(APNATION="","",VLOOKUP(APNATION,FORMINFO,11,0))</f>
        <v>No</v>
      </c>
      <c r="AP58" s="1512"/>
      <c r="AQ58" s="1620"/>
      <c r="AS58" s="548"/>
      <c r="AU58" s="552"/>
      <c r="AX58" s="553"/>
    </row>
    <row r="59" spans="1:68" ht="15" customHeight="1">
      <c r="A59" s="1479" t="s">
        <v>71</v>
      </c>
      <c r="B59" s="1480"/>
      <c r="C59" s="1480"/>
      <c r="D59" s="1480"/>
      <c r="E59" s="1481"/>
      <c r="F59" s="1383" t="str">
        <f>UPPER(IF(Information!F61="","",VLOOKUP(Information!F61,NATIONS,2,0)))&amp;"
"&amp;Information!F61</f>
        <v xml:space="preserve">
</v>
      </c>
      <c r="G59" s="1384"/>
      <c r="H59" s="1384"/>
      <c r="I59" s="1384"/>
      <c r="J59" s="1384"/>
      <c r="K59" s="1384"/>
      <c r="L59" s="1384"/>
      <c r="M59" s="1384"/>
      <c r="N59" s="1384"/>
      <c r="O59" s="1384"/>
      <c r="P59" s="1385"/>
      <c r="Q59" s="1482" t="s">
        <v>72</v>
      </c>
      <c r="R59" s="1483"/>
      <c r="S59" s="1483"/>
      <c r="T59" s="1483"/>
      <c r="U59" s="1483"/>
      <c r="V59" s="1484"/>
      <c r="W59" s="1439" t="str">
        <f>UPPER(Information!W61)</f>
        <v/>
      </c>
      <c r="X59" s="1440"/>
      <c r="Y59" s="1440"/>
      <c r="Z59" s="1440"/>
      <c r="AA59" s="1440"/>
      <c r="AB59" s="1440"/>
      <c r="AC59" s="1440"/>
      <c r="AD59" s="1447"/>
      <c r="AE59" s="1482" t="s">
        <v>73</v>
      </c>
      <c r="AF59" s="1483"/>
      <c r="AG59" s="1483"/>
      <c r="AH59" s="1483"/>
      <c r="AI59" s="1484"/>
      <c r="AJ59" s="1439" t="str">
        <f>UPPER(Information!AJ61)</f>
        <v/>
      </c>
      <c r="AK59" s="1440"/>
      <c r="AL59" s="1440"/>
      <c r="AM59" s="1440"/>
      <c r="AN59" s="1440"/>
      <c r="AO59" s="1440"/>
      <c r="AP59" s="1440"/>
      <c r="AQ59" s="1441"/>
      <c r="AX59" s="553"/>
    </row>
    <row r="60" spans="1:68" ht="15" customHeight="1">
      <c r="A60" s="1378" t="str">
        <f>IF(APNATION="","",VLOOKUP(APNATION,FORMINFO,5,0))</f>
        <v>Nationality</v>
      </c>
      <c r="B60" s="1379"/>
      <c r="C60" s="1379"/>
      <c r="D60" s="1379"/>
      <c r="E60" s="1380"/>
      <c r="F60" s="1469"/>
      <c r="G60" s="1470"/>
      <c r="H60" s="1470"/>
      <c r="I60" s="1470"/>
      <c r="J60" s="1470"/>
      <c r="K60" s="1470"/>
      <c r="L60" s="1470"/>
      <c r="M60" s="1470"/>
      <c r="N60" s="1470"/>
      <c r="O60" s="1470"/>
      <c r="P60" s="1471"/>
      <c r="Q60" s="1381" t="str">
        <f>IF(APNATION="","",VLOOKUP(APNATION,FORMINFO,74,0))</f>
        <v>Resident Card Number</v>
      </c>
      <c r="R60" s="1379"/>
      <c r="S60" s="1379"/>
      <c r="T60" s="1379"/>
      <c r="U60" s="1379"/>
      <c r="V60" s="1380"/>
      <c r="W60" s="1442"/>
      <c r="X60" s="1443"/>
      <c r="Y60" s="1443"/>
      <c r="Z60" s="1443"/>
      <c r="AA60" s="1443"/>
      <c r="AB60" s="1443"/>
      <c r="AC60" s="1443"/>
      <c r="AD60" s="1448"/>
      <c r="AE60" s="1381" t="str">
        <f>IF(APNATION="","",VLOOKUP(APNATION,FORMINFO,75,0))</f>
        <v>Work or School Name</v>
      </c>
      <c r="AF60" s="1379"/>
      <c r="AG60" s="1379"/>
      <c r="AH60" s="1379"/>
      <c r="AI60" s="1380"/>
      <c r="AJ60" s="1442"/>
      <c r="AK60" s="1443"/>
      <c r="AL60" s="1443"/>
      <c r="AM60" s="1443"/>
      <c r="AN60" s="1443"/>
      <c r="AO60" s="1443"/>
      <c r="AP60" s="1443"/>
      <c r="AQ60" s="1444"/>
      <c r="AX60" s="553"/>
    </row>
    <row r="61" spans="1:68" ht="15" customHeight="1">
      <c r="A61" s="1479" t="s">
        <v>74</v>
      </c>
      <c r="B61" s="1480"/>
      <c r="C61" s="1480"/>
      <c r="D61" s="1480"/>
      <c r="E61" s="1481"/>
      <c r="F61" s="1383" t="str">
        <f>UPPER(Information!F62)</f>
        <v/>
      </c>
      <c r="G61" s="1384"/>
      <c r="H61" s="1384"/>
      <c r="I61" s="1384"/>
      <c r="J61" s="1384"/>
      <c r="K61" s="1384"/>
      <c r="L61" s="1384"/>
      <c r="M61" s="1384"/>
      <c r="N61" s="1384"/>
      <c r="O61" s="1384"/>
      <c r="P61" s="1384"/>
      <c r="Q61" s="1384"/>
      <c r="R61" s="1384"/>
      <c r="S61" s="1384"/>
      <c r="T61" s="1384"/>
      <c r="U61" s="1384"/>
      <c r="V61" s="1384"/>
      <c r="W61" s="1384"/>
      <c r="X61" s="1384"/>
      <c r="Y61" s="1384"/>
      <c r="Z61" s="1384"/>
      <c r="AA61" s="1384"/>
      <c r="AB61" s="1384"/>
      <c r="AC61" s="1384"/>
      <c r="AD61" s="1385"/>
      <c r="AE61" s="1485" t="s">
        <v>75</v>
      </c>
      <c r="AF61" s="1486"/>
      <c r="AG61" s="1486"/>
      <c r="AH61" s="1486"/>
      <c r="AI61" s="1487"/>
      <c r="AJ61" s="1439">
        <f>Information!AJ62</f>
        <v>0</v>
      </c>
      <c r="AK61" s="1440"/>
      <c r="AL61" s="1440"/>
      <c r="AM61" s="1440"/>
      <c r="AN61" s="1440"/>
      <c r="AO61" s="1440"/>
      <c r="AP61" s="1440"/>
      <c r="AQ61" s="1441"/>
      <c r="AX61" s="553"/>
    </row>
    <row r="62" spans="1:68" ht="15" customHeight="1">
      <c r="A62" s="1488" t="str">
        <f>IF(APNATION="","",VLOOKUP(APNATION,FORMINFO,20,0))</f>
        <v>Home Address</v>
      </c>
      <c r="B62" s="1489"/>
      <c r="C62" s="1489"/>
      <c r="D62" s="1489"/>
      <c r="E62" s="1490"/>
      <c r="F62" s="1386"/>
      <c r="G62" s="1387"/>
      <c r="H62" s="1387"/>
      <c r="I62" s="1387"/>
      <c r="J62" s="1387"/>
      <c r="K62" s="1387"/>
      <c r="L62" s="1387"/>
      <c r="M62" s="1387"/>
      <c r="N62" s="1387"/>
      <c r="O62" s="1387"/>
      <c r="P62" s="1387"/>
      <c r="Q62" s="1387"/>
      <c r="R62" s="1387"/>
      <c r="S62" s="1387"/>
      <c r="T62" s="1387"/>
      <c r="U62" s="1387"/>
      <c r="V62" s="1387"/>
      <c r="W62" s="1387"/>
      <c r="X62" s="1387"/>
      <c r="Y62" s="1387"/>
      <c r="Z62" s="1387"/>
      <c r="AA62" s="1387"/>
      <c r="AB62" s="1387"/>
      <c r="AC62" s="1387"/>
      <c r="AD62" s="1388"/>
      <c r="AE62" s="1491" t="str">
        <f>IF(APNATION="","",VLOOKUP(APNATION,FORMINFO,21,0))</f>
        <v>Telephone Number</v>
      </c>
      <c r="AF62" s="1492"/>
      <c r="AG62" s="1492"/>
      <c r="AH62" s="1492"/>
      <c r="AI62" s="1493"/>
      <c r="AJ62" s="1466"/>
      <c r="AK62" s="1467"/>
      <c r="AL62" s="1467"/>
      <c r="AM62" s="1467"/>
      <c r="AN62" s="1467"/>
      <c r="AO62" s="1467"/>
      <c r="AP62" s="1467"/>
      <c r="AQ62" s="1468"/>
      <c r="AT62" s="546"/>
      <c r="AX62" s="553"/>
    </row>
    <row r="63" spans="1:68" ht="15" customHeight="1">
      <c r="A63" s="537"/>
      <c r="B63" s="538"/>
      <c r="C63" s="538"/>
      <c r="D63" s="538"/>
      <c r="E63" s="538"/>
      <c r="F63" s="538"/>
      <c r="G63" s="538"/>
      <c r="H63" s="538"/>
      <c r="I63" s="538"/>
      <c r="J63" s="538"/>
      <c r="K63" s="538"/>
      <c r="L63" s="538"/>
      <c r="M63" s="538"/>
      <c r="N63" s="537"/>
      <c r="O63" s="539"/>
      <c r="P63" s="540"/>
      <c r="Q63" s="540"/>
      <c r="R63" s="541"/>
      <c r="S63" s="541"/>
      <c r="T63" s="541"/>
      <c r="U63" s="542"/>
      <c r="V63" s="541"/>
      <c r="W63" s="541"/>
      <c r="X63" s="542"/>
      <c r="Y63" s="541"/>
      <c r="Z63" s="541"/>
      <c r="AA63" s="542"/>
      <c r="AB63" s="540"/>
      <c r="AC63" s="543"/>
      <c r="AD63" s="541"/>
      <c r="AE63" s="541"/>
      <c r="AF63" s="541"/>
      <c r="AG63" s="541"/>
      <c r="AH63" s="541"/>
      <c r="AI63" s="541"/>
      <c r="AJ63" s="541"/>
      <c r="AK63" s="541"/>
      <c r="AL63" s="541"/>
      <c r="AM63" s="541"/>
      <c r="AN63" s="541"/>
      <c r="AO63" s="541"/>
      <c r="AP63" s="541"/>
      <c r="AQ63" s="541"/>
      <c r="AX63" s="553"/>
    </row>
    <row r="64" spans="1:68" s="535" customFormat="1" ht="15" customHeight="1">
      <c r="A64" s="537"/>
      <c r="B64" s="1266" t="str">
        <f>SCHOOLNAME</f>
        <v>進和外語アカデミー</v>
      </c>
      <c r="C64" s="1266"/>
      <c r="D64" s="1266"/>
      <c r="E64" s="1266"/>
      <c r="F64" s="1266"/>
      <c r="G64" s="1266"/>
      <c r="H64" s="1266"/>
      <c r="I64" s="1266"/>
      <c r="J64" s="1266"/>
      <c r="K64" s="1266"/>
      <c r="L64" s="1266"/>
      <c r="M64" s="1266"/>
      <c r="N64" s="1266"/>
      <c r="O64" s="1266"/>
      <c r="P64" s="541"/>
      <c r="Q64" s="541"/>
      <c r="R64" s="541"/>
      <c r="S64" s="541"/>
      <c r="T64" s="541"/>
      <c r="U64" s="541"/>
      <c r="V64" s="541"/>
      <c r="W64" s="541"/>
      <c r="X64" s="541"/>
      <c r="Y64" s="541"/>
      <c r="Z64" s="541"/>
      <c r="AA64" s="541"/>
      <c r="AB64" s="541"/>
      <c r="AC64" s="541"/>
      <c r="AD64" s="541"/>
      <c r="AE64" s="541"/>
      <c r="AF64" s="541"/>
      <c r="AG64" s="541"/>
      <c r="AH64" s="541"/>
      <c r="AI64" s="541"/>
      <c r="AJ64" s="541"/>
      <c r="AK64" s="541"/>
      <c r="AL64" s="541"/>
      <c r="AM64" s="541"/>
      <c r="AN64" s="541"/>
      <c r="AO64" s="541"/>
      <c r="AP64" s="541"/>
      <c r="AQ64" s="541"/>
      <c r="AT64" s="3"/>
      <c r="AU64" s="3"/>
      <c r="AV64" s="3"/>
      <c r="AW64" s="3"/>
      <c r="AX64" s="553"/>
      <c r="AY64" s="3"/>
      <c r="AZ64" s="3"/>
      <c r="BA64" s="3"/>
      <c r="BB64" s="3"/>
      <c r="BC64" s="3"/>
      <c r="BD64" s="3"/>
      <c r="BE64" s="3"/>
      <c r="BF64" s="3"/>
      <c r="BG64" s="3"/>
      <c r="BH64" s="3"/>
      <c r="BI64" s="3"/>
      <c r="BJ64" s="3"/>
      <c r="BK64" s="3"/>
      <c r="BL64" s="3"/>
      <c r="BM64" s="3"/>
      <c r="BN64" s="3"/>
      <c r="BO64" s="3"/>
      <c r="BP64" s="3"/>
    </row>
    <row r="65" spans="1:68" s="535" customFormat="1" ht="15" customHeight="1">
      <c r="A65" s="540"/>
      <c r="B65" s="1266"/>
      <c r="C65" s="1266"/>
      <c r="D65" s="1266"/>
      <c r="E65" s="1266"/>
      <c r="F65" s="1266"/>
      <c r="G65" s="1266"/>
      <c r="H65" s="1266"/>
      <c r="I65" s="1266"/>
      <c r="J65" s="1266"/>
      <c r="K65" s="1266"/>
      <c r="L65" s="1266"/>
      <c r="M65" s="1266"/>
      <c r="N65" s="1266"/>
      <c r="O65" s="1266"/>
      <c r="P65" s="541"/>
      <c r="Q65" s="541"/>
      <c r="R65" s="541"/>
      <c r="S65" s="541"/>
      <c r="T65" s="541"/>
      <c r="U65" s="541"/>
      <c r="V65" s="541"/>
      <c r="W65" s="541"/>
      <c r="X65" s="541"/>
      <c r="Y65" s="541"/>
      <c r="Z65" s="541"/>
      <c r="AA65" s="541"/>
      <c r="AB65" s="541"/>
      <c r="AC65" s="541"/>
      <c r="AD65" s="541"/>
      <c r="AE65" s="541"/>
      <c r="AF65" s="541"/>
      <c r="AG65" s="541"/>
      <c r="AH65" s="541"/>
      <c r="AI65" s="541"/>
      <c r="AJ65" s="541"/>
      <c r="AK65" s="541"/>
      <c r="AL65" s="541"/>
      <c r="AM65" s="541"/>
      <c r="AN65" s="541"/>
      <c r="AO65" s="541"/>
      <c r="AP65" s="541"/>
      <c r="AQ65" s="541"/>
      <c r="AR65" s="31"/>
      <c r="AS65" s="3"/>
      <c r="AT65" s="3"/>
      <c r="AU65" s="3"/>
      <c r="AV65" s="3"/>
      <c r="AW65" s="3"/>
      <c r="AX65" s="553"/>
      <c r="AY65" s="3"/>
      <c r="AZ65" s="3"/>
      <c r="BA65" s="3"/>
      <c r="BB65" s="3"/>
      <c r="BC65" s="3"/>
      <c r="BD65" s="3"/>
      <c r="BE65" s="3"/>
      <c r="BF65" s="3"/>
      <c r="BG65" s="3"/>
      <c r="BH65" s="3"/>
      <c r="BI65" s="3"/>
      <c r="BJ65" s="3"/>
      <c r="BK65" s="3"/>
      <c r="BL65" s="3"/>
      <c r="BM65" s="3"/>
      <c r="BN65" s="3"/>
      <c r="BO65" s="3"/>
      <c r="BP65" s="3"/>
    </row>
    <row r="66" spans="1:68" s="535" customFormat="1" ht="15" customHeight="1">
      <c r="A66" s="540"/>
      <c r="B66" s="821" t="str">
        <f>SCHOOLNAMEEN</f>
        <v>Shinwa Foreign Language Academy</v>
      </c>
      <c r="C66" s="821"/>
      <c r="D66" s="821"/>
      <c r="E66" s="821"/>
      <c r="F66" s="821"/>
      <c r="G66" s="821"/>
      <c r="H66" s="821"/>
      <c r="I66" s="821"/>
      <c r="J66" s="821"/>
      <c r="K66" s="821"/>
      <c r="L66" s="821"/>
      <c r="M66" s="821"/>
      <c r="N66" s="821"/>
      <c r="O66" s="821"/>
      <c r="P66" s="540"/>
      <c r="Q66" s="540"/>
      <c r="R66" s="540"/>
      <c r="S66" s="540"/>
      <c r="T66" s="540"/>
      <c r="U66" s="540"/>
      <c r="V66" s="540"/>
      <c r="W66" s="540"/>
      <c r="X66" s="540"/>
      <c r="Y66" s="540"/>
      <c r="Z66" s="540"/>
      <c r="AA66" s="540"/>
      <c r="AB66" s="540"/>
      <c r="AC66" s="540"/>
      <c r="AD66" s="540"/>
      <c r="AE66" s="540"/>
      <c r="AF66" s="540"/>
      <c r="AG66" s="540"/>
      <c r="AH66" s="540"/>
      <c r="AI66" s="540"/>
      <c r="AJ66" s="540"/>
      <c r="AK66" s="540"/>
      <c r="AL66" s="540"/>
      <c r="AM66" s="540"/>
      <c r="AN66" s="540"/>
      <c r="AO66" s="540"/>
      <c r="AP66" s="540"/>
      <c r="AQ66" s="540"/>
      <c r="AR66" s="31"/>
      <c r="AS66" s="3"/>
      <c r="AT66" s="3"/>
      <c r="AU66" s="3"/>
      <c r="AV66" s="3"/>
      <c r="AW66" s="3"/>
      <c r="AX66" s="553"/>
      <c r="AY66" s="3"/>
      <c r="AZ66" s="3"/>
      <c r="BA66" s="3"/>
      <c r="BB66" s="3"/>
      <c r="BC66" s="3"/>
      <c r="BD66" s="3"/>
      <c r="BE66" s="3"/>
      <c r="BF66" s="3"/>
      <c r="BG66" s="3"/>
      <c r="BH66" s="3"/>
      <c r="BI66" s="3"/>
      <c r="BJ66" s="3"/>
      <c r="BK66" s="3"/>
      <c r="BL66" s="3"/>
      <c r="BM66" s="3"/>
      <c r="BN66" s="3"/>
      <c r="BO66" s="3"/>
      <c r="BP66" s="3"/>
    </row>
    <row r="67" spans="1:68" ht="15" customHeight="1">
      <c r="A67" s="540"/>
      <c r="B67" s="823" t="str">
        <f>SCHOOLADDRESS</f>
        <v>〒169-0075 東京都新宿区高田馬場 2-14-30</v>
      </c>
      <c r="C67" s="823"/>
      <c r="D67" s="823"/>
      <c r="E67" s="823"/>
      <c r="F67" s="823"/>
      <c r="G67" s="823"/>
      <c r="H67" s="823"/>
      <c r="I67" s="823"/>
      <c r="J67" s="823"/>
      <c r="K67" s="823"/>
      <c r="L67" s="823"/>
      <c r="M67" s="823"/>
      <c r="N67" s="823"/>
      <c r="O67" s="823"/>
      <c r="P67" s="1630" t="s">
        <v>76</v>
      </c>
      <c r="Q67" s="1503"/>
      <c r="R67" s="1503"/>
      <c r="S67" s="1503"/>
      <c r="T67" s="1261">
        <f>Information!Q2</f>
        <v>45537</v>
      </c>
      <c r="U67" s="1261"/>
      <c r="V67" s="1261"/>
      <c r="W67" s="1261"/>
      <c r="X67" s="1261"/>
      <c r="Y67" s="1261"/>
      <c r="Z67" s="1630" t="s">
        <v>77</v>
      </c>
      <c r="AA67" s="1503"/>
      <c r="AB67" s="1503"/>
      <c r="AC67" s="1503"/>
      <c r="AD67" s="1503"/>
      <c r="AE67" s="1503"/>
      <c r="AF67" s="1503"/>
      <c r="AG67" s="1421"/>
      <c r="AH67" s="1421"/>
      <c r="AI67" s="1421"/>
      <c r="AJ67" s="1421"/>
      <c r="AK67" s="1421"/>
      <c r="AL67" s="1421"/>
      <c r="AM67" s="1421"/>
      <c r="AN67" s="1421"/>
      <c r="AO67" s="1421"/>
      <c r="AP67" s="1421"/>
      <c r="AQ67" s="1421"/>
      <c r="AR67" s="564"/>
      <c r="AX67" s="553"/>
    </row>
    <row r="68" spans="1:68" ht="15" customHeight="1">
      <c r="A68" s="540"/>
      <c r="B68" s="824" t="str">
        <f>SCHOOLPHONE</f>
        <v>TEL: 03-6233-8175　　　FAX: 03-6233-8176</v>
      </c>
      <c r="C68" s="824"/>
      <c r="D68" s="824"/>
      <c r="E68" s="824"/>
      <c r="F68" s="824"/>
      <c r="G68" s="824"/>
      <c r="H68" s="824"/>
      <c r="I68" s="824"/>
      <c r="J68" s="824"/>
      <c r="K68" s="824"/>
      <c r="L68" s="824"/>
      <c r="M68" s="562"/>
      <c r="N68" s="1631" t="str">
        <f>IF(APNATION="","",VLOOKUP(APNATION,FORMINFO,3,0))</f>
        <v>Date：</v>
      </c>
      <c r="O68" s="1631"/>
      <c r="P68" s="1631"/>
      <c r="Q68" s="1631"/>
      <c r="R68" s="1631"/>
      <c r="S68" s="1631"/>
      <c r="T68" s="1262"/>
      <c r="U68" s="1262"/>
      <c r="V68" s="1262"/>
      <c r="W68" s="1262"/>
      <c r="X68" s="1262"/>
      <c r="Y68" s="1262"/>
      <c r="Z68" s="1631" t="str">
        <f>IF(APNATION="","",VLOOKUP(APNATION,FORMINFO,79,0))&amp;"："</f>
        <v>Signed：</v>
      </c>
      <c r="AA68" s="1631"/>
      <c r="AB68" s="1631"/>
      <c r="AC68" s="1631"/>
      <c r="AD68" s="1631"/>
      <c r="AE68" s="1631"/>
      <c r="AF68" s="1631"/>
      <c r="AG68" s="1422"/>
      <c r="AH68" s="1422"/>
      <c r="AI68" s="1422"/>
      <c r="AJ68" s="1422"/>
      <c r="AK68" s="1422"/>
      <c r="AL68" s="1422"/>
      <c r="AM68" s="1422"/>
      <c r="AN68" s="1422"/>
      <c r="AO68" s="1422"/>
      <c r="AP68" s="1422"/>
      <c r="AQ68" s="1422"/>
      <c r="AX68" s="553"/>
    </row>
    <row r="69" spans="1:68" ht="15" customHeight="1">
      <c r="A69" s="540"/>
      <c r="B69" s="540"/>
      <c r="C69" s="540"/>
      <c r="D69" s="540"/>
      <c r="E69" s="540"/>
      <c r="F69" s="540"/>
      <c r="G69" s="540"/>
      <c r="H69" s="540"/>
      <c r="I69" s="540"/>
      <c r="J69" s="540"/>
      <c r="K69" s="540"/>
      <c r="L69" s="540"/>
      <c r="M69" s="540"/>
      <c r="N69" s="540"/>
      <c r="O69" s="540"/>
      <c r="P69" s="540"/>
      <c r="Q69" s="540"/>
      <c r="R69" s="540"/>
      <c r="S69" s="540"/>
      <c r="T69" s="540"/>
      <c r="U69" s="540"/>
      <c r="V69" s="540"/>
      <c r="W69" s="540"/>
      <c r="X69" s="540"/>
      <c r="Y69" s="540"/>
      <c r="Z69" s="540"/>
      <c r="AA69" s="540"/>
      <c r="AB69" s="540"/>
      <c r="AC69" s="540"/>
      <c r="AD69" s="540"/>
      <c r="AE69" s="540"/>
      <c r="AF69" s="540"/>
      <c r="AG69" s="540"/>
      <c r="AH69" s="540"/>
      <c r="AI69" s="540"/>
      <c r="AJ69" s="540"/>
      <c r="AK69" s="540"/>
      <c r="AL69" s="540"/>
      <c r="AM69" s="540"/>
      <c r="AN69" s="540"/>
      <c r="AO69" s="540"/>
      <c r="AP69" s="540"/>
      <c r="AQ69" s="540"/>
      <c r="AS69" s="548"/>
      <c r="AX69" s="553"/>
    </row>
    <row r="70" spans="1:68" ht="15" customHeight="1">
      <c r="A70" s="1407" t="s">
        <v>78</v>
      </c>
      <c r="B70" s="1407"/>
      <c r="C70" s="1407"/>
      <c r="D70" s="1407"/>
      <c r="E70" s="1407"/>
      <c r="F70" s="1407"/>
      <c r="G70" s="1407"/>
      <c r="H70" s="1407"/>
      <c r="I70" s="1407"/>
      <c r="J70" s="1407"/>
      <c r="K70" s="1407"/>
      <c r="L70" s="1407"/>
      <c r="M70" s="1407"/>
      <c r="N70" s="1407"/>
      <c r="O70" s="1407"/>
      <c r="P70" s="1407"/>
      <c r="Q70" s="1407"/>
      <c r="R70" s="1407"/>
      <c r="S70" s="1407"/>
      <c r="T70" s="1407"/>
      <c r="U70" s="1407"/>
      <c r="V70" s="1407"/>
      <c r="W70" s="1407"/>
      <c r="X70" s="1407"/>
      <c r="Y70" s="1407"/>
      <c r="Z70" s="1407"/>
      <c r="AA70" s="1407"/>
      <c r="AB70" s="1407"/>
      <c r="AC70" s="1407"/>
      <c r="AD70" s="1407"/>
      <c r="AE70" s="1407"/>
      <c r="AF70" s="1407"/>
      <c r="AG70" s="1407"/>
      <c r="AH70" s="1407"/>
      <c r="AI70" s="1407"/>
      <c r="AJ70" s="1407"/>
      <c r="AK70" s="1407"/>
      <c r="AL70" s="1407"/>
      <c r="AM70" s="1407"/>
      <c r="AN70" s="1407"/>
      <c r="AO70" s="1407"/>
      <c r="AP70" s="1407"/>
      <c r="AQ70" s="1407"/>
      <c r="AS70" s="548"/>
      <c r="AX70" s="553"/>
    </row>
    <row r="71" spans="1:68" ht="15" customHeight="1">
      <c r="A71" s="1407"/>
      <c r="B71" s="1407"/>
      <c r="C71" s="1407"/>
      <c r="D71" s="1407"/>
      <c r="E71" s="1407"/>
      <c r="F71" s="1407"/>
      <c r="G71" s="1407"/>
      <c r="H71" s="1407"/>
      <c r="I71" s="1407"/>
      <c r="J71" s="1407"/>
      <c r="K71" s="1407"/>
      <c r="L71" s="1407"/>
      <c r="M71" s="1407"/>
      <c r="N71" s="1407"/>
      <c r="O71" s="1407"/>
      <c r="P71" s="1407"/>
      <c r="Q71" s="1407"/>
      <c r="R71" s="1407"/>
      <c r="S71" s="1407"/>
      <c r="T71" s="1407"/>
      <c r="U71" s="1407"/>
      <c r="V71" s="1407"/>
      <c r="W71" s="1407"/>
      <c r="X71" s="1407"/>
      <c r="Y71" s="1407"/>
      <c r="Z71" s="1407"/>
      <c r="AA71" s="1407"/>
      <c r="AB71" s="1407"/>
      <c r="AC71" s="1407"/>
      <c r="AD71" s="1407"/>
      <c r="AE71" s="1407"/>
      <c r="AF71" s="1407"/>
      <c r="AG71" s="1407"/>
      <c r="AH71" s="1407"/>
      <c r="AI71" s="1407"/>
      <c r="AJ71" s="1407"/>
      <c r="AK71" s="1407"/>
      <c r="AL71" s="1407"/>
      <c r="AM71" s="1407"/>
      <c r="AN71" s="1407"/>
      <c r="AO71" s="1407"/>
      <c r="AP71" s="1407"/>
      <c r="AQ71" s="1407"/>
      <c r="AS71" s="548"/>
      <c r="AX71" s="553"/>
    </row>
    <row r="72" spans="1:68" ht="15" customHeight="1">
      <c r="A72" s="1408" t="str">
        <f>"国　　　籍"&amp;IF(OR(APNATION="日本語",APNATION="中国"),"","
"&amp;VLOOKUP(APNATION,FORMINFO,5,0))</f>
        <v>国　　　籍
Nationality</v>
      </c>
      <c r="B72" s="1397"/>
      <c r="C72" s="1397"/>
      <c r="D72" s="1397"/>
      <c r="E72" s="1409"/>
      <c r="F72" s="1636" t="str">
        <f>IFERROR(UPPER(IF(OR(APNATION="日本語",APNATION="中国"),NATIONINFO,NATIONINFO&amp;" （"&amp;AS72&amp;"）")),"")</f>
        <v/>
      </c>
      <c r="G72" s="1636"/>
      <c r="H72" s="1636"/>
      <c r="I72" s="1636"/>
      <c r="J72" s="1636"/>
      <c r="K72" s="1636"/>
      <c r="L72" s="1636"/>
      <c r="M72" s="1636"/>
      <c r="N72" s="1636"/>
      <c r="O72" s="1636"/>
      <c r="P72" s="1636"/>
      <c r="Q72" s="1636"/>
      <c r="R72" s="1636"/>
      <c r="S72" s="1400" t="str">
        <f>"氏　名"&amp;IF(APNATION="日本語","","
"&amp;VLOOKUP(APNATION,NAMETR,2,0))</f>
        <v>氏　名
Full Name</v>
      </c>
      <c r="T72" s="1400"/>
      <c r="U72" s="1400"/>
      <c r="V72" s="1475" t="str">
        <f>UPPER(IF(ISBLANK(Information!$F$4),Information!$F$5,Information!$F$4))</f>
        <v/>
      </c>
      <c r="W72" s="1475"/>
      <c r="X72" s="1475"/>
      <c r="Y72" s="1475"/>
      <c r="Z72" s="1475"/>
      <c r="AA72" s="1475"/>
      <c r="AB72" s="1475"/>
      <c r="AC72" s="1475"/>
      <c r="AD72" s="1475"/>
      <c r="AE72" s="1475"/>
      <c r="AF72" s="1475"/>
      <c r="AG72" s="1475"/>
      <c r="AH72" s="1475"/>
      <c r="AI72" s="1475"/>
      <c r="AJ72" s="1475"/>
      <c r="AK72" s="1475"/>
      <c r="AL72" s="1475"/>
      <c r="AM72" s="1475"/>
      <c r="AN72" s="1475"/>
      <c r="AO72" s="1475"/>
      <c r="AP72" s="1475"/>
      <c r="AQ72" s="1476"/>
      <c r="AS72" s="548" t="e">
        <f>VLOOKUP(Information!AB4,NATIONS,2,0)</f>
        <v>#N/A</v>
      </c>
    </row>
    <row r="73" spans="1:68" ht="15" customHeight="1">
      <c r="A73" s="1389"/>
      <c r="B73" s="1390"/>
      <c r="C73" s="1390"/>
      <c r="D73" s="1390"/>
      <c r="E73" s="1391"/>
      <c r="F73" s="1399"/>
      <c r="G73" s="1399"/>
      <c r="H73" s="1399"/>
      <c r="I73" s="1399"/>
      <c r="J73" s="1399"/>
      <c r="K73" s="1399"/>
      <c r="L73" s="1399"/>
      <c r="M73" s="1399"/>
      <c r="N73" s="1399"/>
      <c r="O73" s="1399"/>
      <c r="P73" s="1399"/>
      <c r="Q73" s="1399"/>
      <c r="R73" s="1399"/>
      <c r="S73" s="1401"/>
      <c r="T73" s="1401"/>
      <c r="U73" s="1401"/>
      <c r="V73" s="1477"/>
      <c r="W73" s="1477"/>
      <c r="X73" s="1477"/>
      <c r="Y73" s="1477"/>
      <c r="Z73" s="1477"/>
      <c r="AA73" s="1477"/>
      <c r="AB73" s="1477"/>
      <c r="AC73" s="1477"/>
      <c r="AD73" s="1477"/>
      <c r="AE73" s="1477"/>
      <c r="AF73" s="1477"/>
      <c r="AG73" s="1477"/>
      <c r="AH73" s="1477"/>
      <c r="AI73" s="1477"/>
      <c r="AJ73" s="1477"/>
      <c r="AK73" s="1477"/>
      <c r="AL73" s="1477"/>
      <c r="AM73" s="1477"/>
      <c r="AN73" s="1477"/>
      <c r="AO73" s="1477"/>
      <c r="AP73" s="1477"/>
      <c r="AQ73" s="1478"/>
      <c r="AR73" s="565"/>
      <c r="AS73" s="548" t="e">
        <f>VLOOKUP(SPONSORCOUNTRY,NATIONS,2,0)</f>
        <v>#N/A</v>
      </c>
    </row>
    <row r="74" spans="1:68" ht="15" customHeight="1">
      <c r="A74" s="1389" t="str">
        <f>"生  年 月  日"&amp;IF(OR(APNATION="日本語",APNATION="中国"),"","
"&amp;VLOOKUP(APNATION,FORMINFO,12,0))</f>
        <v>生  年 月  日
Date of Birth</v>
      </c>
      <c r="B74" s="1390"/>
      <c r="C74" s="1390"/>
      <c r="D74" s="1390"/>
      <c r="E74" s="1391"/>
      <c r="F74" s="1395" t="str">
        <f>IF(ISBLANK(STUDENTDOB)," ",STUDENTDOB)</f>
        <v xml:space="preserve"> </v>
      </c>
      <c r="G74" s="1395"/>
      <c r="H74" s="1395"/>
      <c r="I74" s="1395"/>
      <c r="J74" s="1395"/>
      <c r="K74" s="1395"/>
      <c r="L74" s="1395"/>
      <c r="M74" s="1395"/>
      <c r="N74" s="1395"/>
      <c r="O74" s="1395"/>
      <c r="P74" s="1396" t="str">
        <f>"出　生　地"&amp;IF(OR(APNATION="日本語",APNATION="中国"),"","
"&amp;VLOOKUP(APNATION,FORMINFO,18,0))</f>
        <v>出　生　地
Place of Birth</v>
      </c>
      <c r="Q74" s="1396"/>
      <c r="R74" s="1396"/>
      <c r="S74" s="1396"/>
      <c r="T74" s="1396"/>
      <c r="U74" s="1396"/>
      <c r="V74" s="1399" t="str">
        <f>UPPER(Information!F8)</f>
        <v/>
      </c>
      <c r="W74" s="1399"/>
      <c r="X74" s="1399"/>
      <c r="Y74" s="1399"/>
      <c r="Z74" s="1399"/>
      <c r="AA74" s="1399"/>
      <c r="AB74" s="1399"/>
      <c r="AC74" s="1399"/>
      <c r="AD74" s="1399"/>
      <c r="AE74" s="1399"/>
      <c r="AF74" s="1399"/>
      <c r="AG74" s="1640" t="str">
        <f>"性　別"&amp;IF(OR(APNATION="日本語",APNATION="中国"),"","
"&amp;VLOOKUP(APNATION,FORMINFO,6,0))</f>
        <v>性　別
Gender</v>
      </c>
      <c r="AH74" s="1640"/>
      <c r="AI74" s="1640"/>
      <c r="AJ74" s="1416" t="str">
        <f>AA6</f>
        <v>□</v>
      </c>
      <c r="AK74" s="1472" t="str">
        <f>"男"&amp;IF(OR(APNATION="日本語",APNATION="中国"),"","
"&amp;VLOOKUP(APNATION,FORMINFO,7,0))</f>
        <v>男
Male</v>
      </c>
      <c r="AL74" s="1472"/>
      <c r="AM74" s="1418" t="s">
        <v>32</v>
      </c>
      <c r="AN74" s="1410" t="str">
        <f>AF6</f>
        <v>□</v>
      </c>
      <c r="AO74" s="1472" t="str">
        <f>"女"&amp;IF(OR(APNATION="日本語",APNATION="中国"),"","
"&amp;VLOOKUP(APNATION,FORMINFO,8,0))</f>
        <v>女
Female</v>
      </c>
      <c r="AP74" s="1472"/>
      <c r="AQ74" s="566"/>
      <c r="AR74" s="565"/>
      <c r="AS74" s="548" t="e">
        <f>VLOOKUP(SPONSORHOME,NATIONS,2,0)</f>
        <v>#N/A</v>
      </c>
    </row>
    <row r="75" spans="1:68" ht="15" customHeight="1">
      <c r="A75" s="1392"/>
      <c r="B75" s="1393"/>
      <c r="C75" s="1393"/>
      <c r="D75" s="1393"/>
      <c r="E75" s="1394"/>
      <c r="F75" s="1395"/>
      <c r="G75" s="1395"/>
      <c r="H75" s="1395"/>
      <c r="I75" s="1395"/>
      <c r="J75" s="1395"/>
      <c r="K75" s="1395"/>
      <c r="L75" s="1395"/>
      <c r="M75" s="1395"/>
      <c r="N75" s="1395"/>
      <c r="O75" s="1395"/>
      <c r="P75" s="1396"/>
      <c r="Q75" s="1396"/>
      <c r="R75" s="1396"/>
      <c r="S75" s="1396"/>
      <c r="T75" s="1396"/>
      <c r="U75" s="1396"/>
      <c r="V75" s="1399"/>
      <c r="W75" s="1399"/>
      <c r="X75" s="1399"/>
      <c r="Y75" s="1399"/>
      <c r="Z75" s="1399"/>
      <c r="AA75" s="1399"/>
      <c r="AB75" s="1399"/>
      <c r="AC75" s="1399"/>
      <c r="AD75" s="1399"/>
      <c r="AE75" s="1399"/>
      <c r="AF75" s="1399"/>
      <c r="AG75" s="1640"/>
      <c r="AH75" s="1640"/>
      <c r="AI75" s="1640"/>
      <c r="AJ75" s="1417"/>
      <c r="AK75" s="1473"/>
      <c r="AL75" s="1473"/>
      <c r="AM75" s="1419"/>
      <c r="AN75" s="1637"/>
      <c r="AO75" s="1473"/>
      <c r="AP75" s="1473"/>
      <c r="AQ75" s="567"/>
      <c r="AR75" s="31"/>
      <c r="AS75" s="548"/>
    </row>
    <row r="76" spans="1:68" ht="15" customHeight="1">
      <c r="A76" s="1632" t="s">
        <v>79</v>
      </c>
      <c r="B76" s="1486"/>
      <c r="C76" s="1486"/>
      <c r="D76" s="1486"/>
      <c r="E76" s="1487"/>
      <c r="F76" s="1402" t="str">
        <f>UPPER(FORMULAS!K4)</f>
        <v xml:space="preserve">
</v>
      </c>
      <c r="G76" s="1403"/>
      <c r="H76" s="1403"/>
      <c r="I76" s="1403"/>
      <c r="J76" s="1403"/>
      <c r="K76" s="1403"/>
      <c r="L76" s="1403"/>
      <c r="M76" s="1403"/>
      <c r="N76" s="1403"/>
      <c r="O76" s="1403"/>
      <c r="P76" s="1403"/>
      <c r="Q76" s="1403"/>
      <c r="R76" s="1403"/>
      <c r="S76" s="1403"/>
      <c r="T76" s="1403"/>
      <c r="U76" s="1403"/>
      <c r="V76" s="1403"/>
      <c r="W76" s="1403"/>
      <c r="X76" s="1403"/>
      <c r="Y76" s="1403"/>
      <c r="Z76" s="1403"/>
      <c r="AA76" s="1403"/>
      <c r="AB76" s="1403"/>
      <c r="AC76" s="1403"/>
      <c r="AD76" s="1403"/>
      <c r="AE76" s="1403"/>
      <c r="AF76" s="1403"/>
      <c r="AG76" s="1404"/>
      <c r="AH76" s="1404"/>
      <c r="AI76" s="1404"/>
      <c r="AJ76" s="1404"/>
      <c r="AK76" s="1404"/>
      <c r="AL76" s="1404"/>
      <c r="AM76" s="1404"/>
      <c r="AN76" s="1404"/>
      <c r="AO76" s="1404"/>
      <c r="AP76" s="1404"/>
      <c r="AQ76" s="1405"/>
      <c r="AR76" s="535"/>
      <c r="AS76" s="548"/>
    </row>
    <row r="77" spans="1:68" ht="15" customHeight="1">
      <c r="A77" s="1633" t="str">
        <f>IF(APNATION="","",VLOOKUP(APNATION,FORMINFO,20,0))</f>
        <v>Home Address</v>
      </c>
      <c r="B77" s="1634"/>
      <c r="C77" s="1634"/>
      <c r="D77" s="1634"/>
      <c r="E77" s="1635"/>
      <c r="F77" s="1406"/>
      <c r="G77" s="1404"/>
      <c r="H77" s="1404"/>
      <c r="I77" s="1404"/>
      <c r="J77" s="1404"/>
      <c r="K77" s="1404"/>
      <c r="L77" s="1404"/>
      <c r="M77" s="1404"/>
      <c r="N77" s="1404"/>
      <c r="O77" s="1404"/>
      <c r="P77" s="1404"/>
      <c r="Q77" s="1404"/>
      <c r="R77" s="1404"/>
      <c r="S77" s="1404"/>
      <c r="T77" s="1404"/>
      <c r="U77" s="1404"/>
      <c r="V77" s="1404"/>
      <c r="W77" s="1404"/>
      <c r="X77" s="1404"/>
      <c r="Y77" s="1404"/>
      <c r="Z77" s="1404"/>
      <c r="AA77" s="1404"/>
      <c r="AB77" s="1404"/>
      <c r="AC77" s="1404"/>
      <c r="AD77" s="1404"/>
      <c r="AE77" s="1404"/>
      <c r="AF77" s="1404"/>
      <c r="AG77" s="1404"/>
      <c r="AH77" s="1404"/>
      <c r="AI77" s="1404"/>
      <c r="AJ77" s="1404"/>
      <c r="AK77" s="1404"/>
      <c r="AL77" s="1404"/>
      <c r="AM77" s="1404"/>
      <c r="AN77" s="1404"/>
      <c r="AO77" s="1404"/>
      <c r="AP77" s="1404"/>
      <c r="AQ77" s="1405"/>
      <c r="AR77" s="568"/>
      <c r="AS77" s="548"/>
    </row>
    <row r="78" spans="1:68" ht="15" customHeight="1">
      <c r="A78" s="1641" t="s">
        <v>80</v>
      </c>
      <c r="B78" s="1614"/>
      <c r="C78" s="1614"/>
      <c r="D78" s="1614"/>
      <c r="E78" s="1642"/>
      <c r="F78" s="1410" t="str">
        <f>IF(MARITALSTATUS=H79,"■","□")</f>
        <v>□</v>
      </c>
      <c r="G78" s="1410"/>
      <c r="H78" s="1614" t="s">
        <v>69</v>
      </c>
      <c r="I78" s="1614"/>
      <c r="J78" s="1418" t="s">
        <v>32</v>
      </c>
      <c r="K78" s="1410" t="str">
        <f>IF(MARITALSTATUS=M79,"■","□")</f>
        <v>□</v>
      </c>
      <c r="L78" s="1410"/>
      <c r="M78" s="1614" t="s">
        <v>70</v>
      </c>
      <c r="N78" s="1614"/>
      <c r="O78" s="1626"/>
      <c r="P78" s="1618" t="s">
        <v>81</v>
      </c>
      <c r="Q78" s="1619"/>
      <c r="R78" s="1619"/>
      <c r="S78" s="1619"/>
      <c r="T78" s="1619"/>
      <c r="U78" s="1619"/>
      <c r="V78" s="1628" t="s">
        <v>82</v>
      </c>
      <c r="W78" s="1313" t="str">
        <f>UPPER(Information!AJ5)</f>
        <v/>
      </c>
      <c r="X78" s="1313"/>
      <c r="Y78" s="1313"/>
      <c r="Z78" s="1313"/>
      <c r="AA78" s="1313"/>
      <c r="AB78" s="1313"/>
      <c r="AC78" s="1313"/>
      <c r="AD78" s="1313"/>
      <c r="AE78" s="1313"/>
      <c r="AF78" s="1313"/>
      <c r="AG78" s="1313"/>
      <c r="AH78" s="1313"/>
      <c r="AI78" s="1313"/>
      <c r="AJ78" s="1313"/>
      <c r="AK78" s="1313"/>
      <c r="AL78" s="1313"/>
      <c r="AM78" s="1313"/>
      <c r="AN78" s="1313"/>
      <c r="AO78" s="1313"/>
      <c r="AP78" s="1313"/>
      <c r="AQ78" s="1638" t="s">
        <v>83</v>
      </c>
      <c r="AR78" s="568"/>
      <c r="AS78" s="548"/>
    </row>
    <row r="79" spans="1:68" ht="15" customHeight="1">
      <c r="A79" s="1621" t="str">
        <f>IF(APNATION="","",VLOOKUP(APNATION,FORMINFO,9,0))</f>
        <v>Are you married?</v>
      </c>
      <c r="B79" s="1622"/>
      <c r="C79" s="1622"/>
      <c r="D79" s="1622"/>
      <c r="E79" s="1623"/>
      <c r="F79" s="1411"/>
      <c r="G79" s="1411"/>
      <c r="H79" s="1622" t="str">
        <f>IF(APNATION="","",VLOOKUP(APNATION,FORMINFO,10,0))</f>
        <v>Yes</v>
      </c>
      <c r="I79" s="1622"/>
      <c r="J79" s="1345"/>
      <c r="K79" s="1411"/>
      <c r="L79" s="1411"/>
      <c r="M79" s="1622" t="str">
        <f>IF(APNATION="","",VLOOKUP(APNATION,FORMINFO,11,0))</f>
        <v>No</v>
      </c>
      <c r="N79" s="1622"/>
      <c r="O79" s="1627"/>
      <c r="P79" s="1624" t="str">
        <f>IF(APNATION="","",VLOOKUP(APNATION,FORMINFO,17,0))</f>
        <v>Spouse's Name</v>
      </c>
      <c r="Q79" s="1625"/>
      <c r="R79" s="1625"/>
      <c r="S79" s="1625"/>
      <c r="T79" s="1625"/>
      <c r="U79" s="1625"/>
      <c r="V79" s="1629"/>
      <c r="W79" s="1348"/>
      <c r="X79" s="1348"/>
      <c r="Y79" s="1348"/>
      <c r="Z79" s="1348"/>
      <c r="AA79" s="1348"/>
      <c r="AB79" s="1348"/>
      <c r="AC79" s="1348"/>
      <c r="AD79" s="1348"/>
      <c r="AE79" s="1348"/>
      <c r="AF79" s="1348"/>
      <c r="AG79" s="1348"/>
      <c r="AH79" s="1348"/>
      <c r="AI79" s="1348"/>
      <c r="AJ79" s="1348"/>
      <c r="AK79" s="1348"/>
      <c r="AL79" s="1348"/>
      <c r="AM79" s="1348"/>
      <c r="AN79" s="1348"/>
      <c r="AO79" s="1348"/>
      <c r="AP79" s="1348"/>
      <c r="AQ79" s="1639"/>
      <c r="AR79" s="568"/>
      <c r="AS79" s="548"/>
    </row>
    <row r="80" spans="1:68" ht="22.5" customHeight="1">
      <c r="A80" s="1585" t="str">
        <f>"学歴　※小学校から最終学歴まで　"&amp;IF(APNATION="","",VLOOKUP(APNATION,FORMINFO,42,0))</f>
        <v>学歴　※小学校から最終学歴まで　(From elementary/primary school to university)</v>
      </c>
      <c r="B80" s="1585"/>
      <c r="C80" s="1585"/>
      <c r="D80" s="1585"/>
      <c r="E80" s="1585"/>
      <c r="F80" s="1585"/>
      <c r="G80" s="1585"/>
      <c r="H80" s="1585"/>
      <c r="I80" s="1585"/>
      <c r="J80" s="1585"/>
      <c r="K80" s="1585"/>
      <c r="L80" s="1585"/>
      <c r="M80" s="1585"/>
      <c r="N80" s="1585"/>
      <c r="O80" s="1585"/>
      <c r="P80" s="1585"/>
      <c r="Q80" s="1585"/>
      <c r="R80" s="1585"/>
      <c r="S80" s="1585"/>
      <c r="T80" s="1585"/>
      <c r="U80" s="1585"/>
      <c r="V80" s="1585"/>
      <c r="W80" s="1585"/>
      <c r="X80" s="1585"/>
      <c r="Y80" s="1585"/>
      <c r="Z80" s="1585"/>
      <c r="AA80" s="1585"/>
      <c r="AB80" s="1585"/>
      <c r="AC80" s="1585"/>
      <c r="AD80" s="1585"/>
      <c r="AE80" s="1585"/>
      <c r="AF80" s="1585"/>
      <c r="AG80" s="1585"/>
      <c r="AH80" s="1585"/>
      <c r="AI80" s="1585"/>
      <c r="AJ80" s="1585"/>
      <c r="AK80" s="1585"/>
      <c r="AL80" s="1585"/>
      <c r="AM80" s="1585"/>
      <c r="AN80" s="1585"/>
      <c r="AO80" s="1585"/>
      <c r="AP80" s="1585"/>
      <c r="AQ80" s="1585"/>
      <c r="AR80" s="568"/>
      <c r="AS80" s="548"/>
    </row>
    <row r="81" spans="1:45" ht="15" customHeight="1">
      <c r="A81" s="1494"/>
      <c r="B81" s="1397" t="str">
        <f>"学　校　名"&amp;IF(APNATION="日本語","","
"&amp;VLOOKUP(APNATION,FORMINFO,43,0))</f>
        <v>学　校　名
School Name</v>
      </c>
      <c r="C81" s="1397"/>
      <c r="D81" s="1397"/>
      <c r="E81" s="1397"/>
      <c r="F81" s="1397"/>
      <c r="G81" s="1397"/>
      <c r="H81" s="1397"/>
      <c r="I81" s="1397"/>
      <c r="J81" s="1397"/>
      <c r="K81" s="1397"/>
      <c r="L81" s="1397"/>
      <c r="M81" s="1397"/>
      <c r="N81" s="1397"/>
      <c r="O81" s="1397"/>
      <c r="P81" s="1397" t="str">
        <f>"所　在　地"&amp;IF(APNATION="日本語","","
"&amp;VLOOKUP(APNATION,FORMINFO,45,0))</f>
        <v>所　在　地
School Address</v>
      </c>
      <c r="Q81" s="1397"/>
      <c r="R81" s="1397"/>
      <c r="S81" s="1397"/>
      <c r="T81" s="1397"/>
      <c r="U81" s="1397"/>
      <c r="V81" s="1397"/>
      <c r="W81" s="1397"/>
      <c r="X81" s="1397"/>
      <c r="Y81" s="1397"/>
      <c r="Z81" s="1397"/>
      <c r="AA81" s="1397"/>
      <c r="AB81" s="1397"/>
      <c r="AC81" s="1397"/>
      <c r="AD81" s="1397"/>
      <c r="AE81" s="1397"/>
      <c r="AF81" s="1397" t="str">
        <f>"入学年月"&amp;IF(APNATION="日本語","","
"&amp;VLOOKUP(APNATION,FORMINFO,46,0))</f>
        <v>入学年月
Entrance Date</v>
      </c>
      <c r="AG81" s="1397"/>
      <c r="AH81" s="1397"/>
      <c r="AI81" s="1397"/>
      <c r="AJ81" s="1397"/>
      <c r="AK81" s="1397"/>
      <c r="AL81" s="1397" t="str">
        <f>"卒業年月"&amp;IF(APNATION="日本語","","
"&amp;VLOOKUP(APNATION,FORMINFO,47,0))</f>
        <v>卒業年月
Graduation Date</v>
      </c>
      <c r="AM81" s="1397"/>
      <c r="AN81" s="1397"/>
      <c r="AO81" s="1397"/>
      <c r="AP81" s="1397"/>
      <c r="AQ81" s="1412"/>
      <c r="AR81" s="535"/>
      <c r="AS81" s="548"/>
    </row>
    <row r="82" spans="1:45" s="536" customFormat="1" ht="15" customHeight="1">
      <c r="A82" s="1495"/>
      <c r="B82" s="1398"/>
      <c r="C82" s="1398"/>
      <c r="D82" s="1398"/>
      <c r="E82" s="1398"/>
      <c r="F82" s="1398"/>
      <c r="G82" s="1398"/>
      <c r="H82" s="1398"/>
      <c r="I82" s="1398"/>
      <c r="J82" s="1398"/>
      <c r="K82" s="1398"/>
      <c r="L82" s="1398"/>
      <c r="M82" s="1398"/>
      <c r="N82" s="1398"/>
      <c r="O82" s="1398"/>
      <c r="P82" s="1398"/>
      <c r="Q82" s="1398"/>
      <c r="R82" s="1398"/>
      <c r="S82" s="1398"/>
      <c r="T82" s="1398"/>
      <c r="U82" s="1398"/>
      <c r="V82" s="1398"/>
      <c r="W82" s="1398"/>
      <c r="X82" s="1398"/>
      <c r="Y82" s="1398"/>
      <c r="Z82" s="1398"/>
      <c r="AA82" s="1398"/>
      <c r="AB82" s="1398"/>
      <c r="AC82" s="1398"/>
      <c r="AD82" s="1398"/>
      <c r="AE82" s="1398"/>
      <c r="AF82" s="1398"/>
      <c r="AG82" s="1398"/>
      <c r="AH82" s="1398"/>
      <c r="AI82" s="1398"/>
      <c r="AJ82" s="1398"/>
      <c r="AK82" s="1398"/>
      <c r="AL82" s="1398"/>
      <c r="AM82" s="1398"/>
      <c r="AN82" s="1398"/>
      <c r="AO82" s="1398"/>
      <c r="AP82" s="1398"/>
      <c r="AQ82" s="1413"/>
      <c r="AR82" s="569"/>
      <c r="AS82" s="570"/>
    </row>
    <row r="83" spans="1:45" ht="15" customHeight="1">
      <c r="A83" s="1496">
        <v>1</v>
      </c>
      <c r="B83" s="1414" t="str">
        <f>UPPER(Information!B26)&amp;IF(Information!L26="","","（"&amp;VLOOKUP(Information!L26,SCHOOLTRANSLATION,2,0)&amp;"）")</f>
        <v>（小学校）</v>
      </c>
      <c r="C83" s="1414"/>
      <c r="D83" s="1414"/>
      <c r="E83" s="1414"/>
      <c r="F83" s="1414"/>
      <c r="G83" s="1414"/>
      <c r="H83" s="1414"/>
      <c r="I83" s="1414"/>
      <c r="J83" s="1414"/>
      <c r="K83" s="1414"/>
      <c r="L83" s="1414"/>
      <c r="M83" s="1414"/>
      <c r="N83" s="1414"/>
      <c r="O83" s="1414"/>
      <c r="P83" s="1414" t="str">
        <f>UPPER(Information!Q26)</f>
        <v/>
      </c>
      <c r="Q83" s="1414"/>
      <c r="R83" s="1414"/>
      <c r="S83" s="1414"/>
      <c r="T83" s="1414"/>
      <c r="U83" s="1414"/>
      <c r="V83" s="1414"/>
      <c r="W83" s="1414"/>
      <c r="X83" s="1414"/>
      <c r="Y83" s="1414"/>
      <c r="Z83" s="1414"/>
      <c r="AA83" s="1414"/>
      <c r="AB83" s="1414"/>
      <c r="AC83" s="1414"/>
      <c r="AD83" s="1414"/>
      <c r="AE83" s="1414"/>
      <c r="AF83" s="1435" t="str">
        <f>IF(ISBLANK(Information!AD26)," ",Information!AD26)</f>
        <v xml:space="preserve"> </v>
      </c>
      <c r="AG83" s="1435"/>
      <c r="AH83" s="1435"/>
      <c r="AI83" s="1435"/>
      <c r="AJ83" s="1435"/>
      <c r="AK83" s="1435"/>
      <c r="AL83" s="1435" t="str">
        <f>IF(ISBLANK(Information!AK26)," ",Information!AK26)</f>
        <v xml:space="preserve"> </v>
      </c>
      <c r="AM83" s="1435"/>
      <c r="AN83" s="1435"/>
      <c r="AO83" s="1435"/>
      <c r="AP83" s="1435"/>
      <c r="AQ83" s="1436"/>
      <c r="AR83" s="31"/>
      <c r="AS83" s="548"/>
    </row>
    <row r="84" spans="1:45" ht="15" customHeight="1">
      <c r="A84" s="1497"/>
      <c r="B84" s="1415"/>
      <c r="C84" s="1415"/>
      <c r="D84" s="1415"/>
      <c r="E84" s="1415"/>
      <c r="F84" s="1415"/>
      <c r="G84" s="1415"/>
      <c r="H84" s="1415"/>
      <c r="I84" s="1415"/>
      <c r="J84" s="1415"/>
      <c r="K84" s="1415"/>
      <c r="L84" s="1415"/>
      <c r="M84" s="1415"/>
      <c r="N84" s="1415"/>
      <c r="O84" s="1415"/>
      <c r="P84" s="1415"/>
      <c r="Q84" s="1415"/>
      <c r="R84" s="1415"/>
      <c r="S84" s="1415"/>
      <c r="T84" s="1415"/>
      <c r="U84" s="1415"/>
      <c r="V84" s="1415"/>
      <c r="W84" s="1415"/>
      <c r="X84" s="1415"/>
      <c r="Y84" s="1415"/>
      <c r="Z84" s="1415"/>
      <c r="AA84" s="1415"/>
      <c r="AB84" s="1415"/>
      <c r="AC84" s="1415"/>
      <c r="AD84" s="1415"/>
      <c r="AE84" s="1415"/>
      <c r="AF84" s="1433"/>
      <c r="AG84" s="1433"/>
      <c r="AH84" s="1433"/>
      <c r="AI84" s="1433"/>
      <c r="AJ84" s="1433"/>
      <c r="AK84" s="1433"/>
      <c r="AL84" s="1433"/>
      <c r="AM84" s="1433"/>
      <c r="AN84" s="1433"/>
      <c r="AO84" s="1433"/>
      <c r="AP84" s="1433"/>
      <c r="AQ84" s="1434"/>
      <c r="AR84" s="535"/>
      <c r="AS84" s="548"/>
    </row>
    <row r="85" spans="1:45" ht="15" customHeight="1">
      <c r="A85" s="1497">
        <v>2</v>
      </c>
      <c r="B85" s="1415" t="str">
        <f>UPPER(Information!B27)&amp;IF(Information!L27="","","（"&amp;VLOOKUP(Information!L27,SCHOOLTRANSLATION,2,0)&amp;"）")</f>
        <v>（中学校）</v>
      </c>
      <c r="C85" s="1415"/>
      <c r="D85" s="1415"/>
      <c r="E85" s="1415"/>
      <c r="F85" s="1415"/>
      <c r="G85" s="1415"/>
      <c r="H85" s="1415"/>
      <c r="I85" s="1415"/>
      <c r="J85" s="1415"/>
      <c r="K85" s="1415"/>
      <c r="L85" s="1415"/>
      <c r="M85" s="1415"/>
      <c r="N85" s="1415"/>
      <c r="O85" s="1415"/>
      <c r="P85" s="1415" t="str">
        <f>UPPER(Information!Q27)</f>
        <v/>
      </c>
      <c r="Q85" s="1415"/>
      <c r="R85" s="1415"/>
      <c r="S85" s="1415"/>
      <c r="T85" s="1415"/>
      <c r="U85" s="1415"/>
      <c r="V85" s="1415"/>
      <c r="W85" s="1415"/>
      <c r="X85" s="1415"/>
      <c r="Y85" s="1415"/>
      <c r="Z85" s="1415"/>
      <c r="AA85" s="1415"/>
      <c r="AB85" s="1415"/>
      <c r="AC85" s="1415"/>
      <c r="AD85" s="1415"/>
      <c r="AE85" s="1415"/>
      <c r="AF85" s="1433" t="str">
        <f>IF(ISBLANK(Information!AD27)," ",Information!AD27)</f>
        <v xml:space="preserve"> </v>
      </c>
      <c r="AG85" s="1433"/>
      <c r="AH85" s="1433"/>
      <c r="AI85" s="1433"/>
      <c r="AJ85" s="1433"/>
      <c r="AK85" s="1433"/>
      <c r="AL85" s="1433" t="str">
        <f>IF(ISBLANK(Information!AK27)," ",Information!AK27)</f>
        <v xml:space="preserve"> </v>
      </c>
      <c r="AM85" s="1433"/>
      <c r="AN85" s="1433"/>
      <c r="AO85" s="1433"/>
      <c r="AP85" s="1433"/>
      <c r="AQ85" s="1434"/>
      <c r="AR85" s="535"/>
      <c r="AS85" s="548"/>
    </row>
    <row r="86" spans="1:45" ht="15" customHeight="1">
      <c r="A86" s="1497"/>
      <c r="B86" s="1415"/>
      <c r="C86" s="1415"/>
      <c r="D86" s="1415"/>
      <c r="E86" s="1415"/>
      <c r="F86" s="1415"/>
      <c r="G86" s="1415"/>
      <c r="H86" s="1415"/>
      <c r="I86" s="1415"/>
      <c r="J86" s="1415"/>
      <c r="K86" s="1415"/>
      <c r="L86" s="1415"/>
      <c r="M86" s="1415"/>
      <c r="N86" s="1415"/>
      <c r="O86" s="1415"/>
      <c r="P86" s="1415"/>
      <c r="Q86" s="1415"/>
      <c r="R86" s="1415"/>
      <c r="S86" s="1415"/>
      <c r="T86" s="1415"/>
      <c r="U86" s="1415"/>
      <c r="V86" s="1415"/>
      <c r="W86" s="1415"/>
      <c r="X86" s="1415"/>
      <c r="Y86" s="1415"/>
      <c r="Z86" s="1415"/>
      <c r="AA86" s="1415"/>
      <c r="AB86" s="1415"/>
      <c r="AC86" s="1415"/>
      <c r="AD86" s="1415"/>
      <c r="AE86" s="1415"/>
      <c r="AF86" s="1433"/>
      <c r="AG86" s="1433"/>
      <c r="AH86" s="1433"/>
      <c r="AI86" s="1433"/>
      <c r="AJ86" s="1433"/>
      <c r="AK86" s="1433"/>
      <c r="AL86" s="1433"/>
      <c r="AM86" s="1433"/>
      <c r="AN86" s="1433"/>
      <c r="AO86" s="1433"/>
      <c r="AP86" s="1433"/>
      <c r="AQ86" s="1434"/>
      <c r="AR86" s="548"/>
      <c r="AS86" s="547"/>
    </row>
    <row r="87" spans="1:45" ht="15" customHeight="1">
      <c r="A87" s="1497">
        <v>3</v>
      </c>
      <c r="B87" s="1415" t="str">
        <f>UPPER(Information!B28)&amp;IF(Information!L28="","","（"&amp;VLOOKUP(Information!L28,SCHOOLTRANSLATION,2,0)&amp;"）")</f>
        <v>（高校）</v>
      </c>
      <c r="C87" s="1415"/>
      <c r="D87" s="1415"/>
      <c r="E87" s="1415"/>
      <c r="F87" s="1415"/>
      <c r="G87" s="1415"/>
      <c r="H87" s="1415"/>
      <c r="I87" s="1415"/>
      <c r="J87" s="1415"/>
      <c r="K87" s="1415"/>
      <c r="L87" s="1415"/>
      <c r="M87" s="1415"/>
      <c r="N87" s="1415"/>
      <c r="O87" s="1415"/>
      <c r="P87" s="1415" t="str">
        <f>UPPER(Information!Q28)</f>
        <v/>
      </c>
      <c r="Q87" s="1415"/>
      <c r="R87" s="1415"/>
      <c r="S87" s="1415"/>
      <c r="T87" s="1415"/>
      <c r="U87" s="1415"/>
      <c r="V87" s="1415"/>
      <c r="W87" s="1415"/>
      <c r="X87" s="1415"/>
      <c r="Y87" s="1415"/>
      <c r="Z87" s="1415"/>
      <c r="AA87" s="1415"/>
      <c r="AB87" s="1415"/>
      <c r="AC87" s="1415"/>
      <c r="AD87" s="1415"/>
      <c r="AE87" s="1415"/>
      <c r="AF87" s="1433" t="str">
        <f>IF(ISBLANK(Information!AD28)," ",Information!AD28)</f>
        <v xml:space="preserve"> </v>
      </c>
      <c r="AG87" s="1433"/>
      <c r="AH87" s="1433"/>
      <c r="AI87" s="1433"/>
      <c r="AJ87" s="1433"/>
      <c r="AK87" s="1433"/>
      <c r="AL87" s="1433" t="str">
        <f>IF(ISBLANK(Information!AK28)," ",Information!AK28)</f>
        <v xml:space="preserve"> </v>
      </c>
      <c r="AM87" s="1433"/>
      <c r="AN87" s="1433"/>
      <c r="AO87" s="1433"/>
      <c r="AP87" s="1433"/>
      <c r="AQ87" s="1434"/>
      <c r="AR87" s="548"/>
      <c r="AS87" s="547"/>
    </row>
    <row r="88" spans="1:45" ht="15" customHeight="1">
      <c r="A88" s="1497"/>
      <c r="B88" s="1415"/>
      <c r="C88" s="1415"/>
      <c r="D88" s="1415"/>
      <c r="E88" s="1415"/>
      <c r="F88" s="1415"/>
      <c r="G88" s="1415"/>
      <c r="H88" s="1415"/>
      <c r="I88" s="1415"/>
      <c r="J88" s="1415"/>
      <c r="K88" s="1415"/>
      <c r="L88" s="1415"/>
      <c r="M88" s="1415"/>
      <c r="N88" s="1415"/>
      <c r="O88" s="1415"/>
      <c r="P88" s="1415"/>
      <c r="Q88" s="1415"/>
      <c r="R88" s="1415"/>
      <c r="S88" s="1415"/>
      <c r="T88" s="1415"/>
      <c r="U88" s="1415"/>
      <c r="V88" s="1415"/>
      <c r="W88" s="1415"/>
      <c r="X88" s="1415"/>
      <c r="Y88" s="1415"/>
      <c r="Z88" s="1415"/>
      <c r="AA88" s="1415"/>
      <c r="AB88" s="1415"/>
      <c r="AC88" s="1415"/>
      <c r="AD88" s="1415"/>
      <c r="AE88" s="1415"/>
      <c r="AF88" s="1433"/>
      <c r="AG88" s="1433"/>
      <c r="AH88" s="1433"/>
      <c r="AI88" s="1433"/>
      <c r="AJ88" s="1433"/>
      <c r="AK88" s="1433"/>
      <c r="AL88" s="1433"/>
      <c r="AM88" s="1433"/>
      <c r="AN88" s="1433"/>
      <c r="AO88" s="1433"/>
      <c r="AP88" s="1433"/>
      <c r="AQ88" s="1434"/>
      <c r="AR88" s="548"/>
      <c r="AS88" s="547"/>
    </row>
    <row r="89" spans="1:45" ht="15" customHeight="1">
      <c r="A89" s="1497">
        <v>4</v>
      </c>
      <c r="B89" s="1415" t="str">
        <f>UPPER(Information!B29)&amp;IF(Information!L29="","","（"&amp;VLOOKUP(Information!L29,SCHOOLTRANSLATION,2,0)&amp;"）")</f>
        <v/>
      </c>
      <c r="C89" s="1415"/>
      <c r="D89" s="1415"/>
      <c r="E89" s="1415"/>
      <c r="F89" s="1415"/>
      <c r="G89" s="1415"/>
      <c r="H89" s="1415"/>
      <c r="I89" s="1415"/>
      <c r="J89" s="1415"/>
      <c r="K89" s="1415"/>
      <c r="L89" s="1415"/>
      <c r="M89" s="1415"/>
      <c r="N89" s="1415"/>
      <c r="O89" s="1415"/>
      <c r="P89" s="1415" t="str">
        <f>UPPER(Information!Q29)</f>
        <v/>
      </c>
      <c r="Q89" s="1415"/>
      <c r="R89" s="1415"/>
      <c r="S89" s="1415"/>
      <c r="T89" s="1415"/>
      <c r="U89" s="1415"/>
      <c r="V89" s="1415"/>
      <c r="W89" s="1415"/>
      <c r="X89" s="1415"/>
      <c r="Y89" s="1415"/>
      <c r="Z89" s="1415"/>
      <c r="AA89" s="1415"/>
      <c r="AB89" s="1415"/>
      <c r="AC89" s="1415"/>
      <c r="AD89" s="1415"/>
      <c r="AE89" s="1415"/>
      <c r="AF89" s="1433" t="str">
        <f>IF(ISBLANK(Information!AD29)," ",Information!AD29)</f>
        <v xml:space="preserve"> </v>
      </c>
      <c r="AG89" s="1433"/>
      <c r="AH89" s="1433"/>
      <c r="AI89" s="1433"/>
      <c r="AJ89" s="1433"/>
      <c r="AK89" s="1433"/>
      <c r="AL89" s="1433" t="str">
        <f>IF(ISBLANK(Information!AK29)," ",Information!AK29)</f>
        <v xml:space="preserve"> </v>
      </c>
      <c r="AM89" s="1433"/>
      <c r="AN89" s="1433"/>
      <c r="AO89" s="1433"/>
      <c r="AP89" s="1433"/>
      <c r="AQ89" s="1434"/>
      <c r="AR89" s="548"/>
      <c r="AS89" s="547"/>
    </row>
    <row r="90" spans="1:45" ht="15" customHeight="1">
      <c r="A90" s="1497"/>
      <c r="B90" s="1415"/>
      <c r="C90" s="1415"/>
      <c r="D90" s="1415"/>
      <c r="E90" s="1415"/>
      <c r="F90" s="1415"/>
      <c r="G90" s="1415"/>
      <c r="H90" s="1415"/>
      <c r="I90" s="1415"/>
      <c r="J90" s="1415"/>
      <c r="K90" s="1415"/>
      <c r="L90" s="1415"/>
      <c r="M90" s="1415"/>
      <c r="N90" s="1415"/>
      <c r="O90" s="1415"/>
      <c r="P90" s="1415"/>
      <c r="Q90" s="1415"/>
      <c r="R90" s="1415"/>
      <c r="S90" s="1415"/>
      <c r="T90" s="1415"/>
      <c r="U90" s="1415"/>
      <c r="V90" s="1415"/>
      <c r="W90" s="1415"/>
      <c r="X90" s="1415"/>
      <c r="Y90" s="1415"/>
      <c r="Z90" s="1415"/>
      <c r="AA90" s="1415"/>
      <c r="AB90" s="1415"/>
      <c r="AC90" s="1415"/>
      <c r="AD90" s="1415"/>
      <c r="AE90" s="1415"/>
      <c r="AF90" s="1433"/>
      <c r="AG90" s="1433"/>
      <c r="AH90" s="1433"/>
      <c r="AI90" s="1433"/>
      <c r="AJ90" s="1433"/>
      <c r="AK90" s="1433"/>
      <c r="AL90" s="1433"/>
      <c r="AM90" s="1433"/>
      <c r="AN90" s="1433"/>
      <c r="AO90" s="1433"/>
      <c r="AP90" s="1433"/>
      <c r="AQ90" s="1434"/>
      <c r="AR90" s="548"/>
      <c r="AS90" s="547"/>
    </row>
    <row r="91" spans="1:45" ht="15" customHeight="1">
      <c r="A91" s="1497">
        <v>5</v>
      </c>
      <c r="B91" s="1415" t="str">
        <f>UPPER(Information!B30)&amp;IF(Information!L30="","","（"&amp;VLOOKUP(Information!L30,SCHOOLTRANSLATION,2,0)&amp;"）")</f>
        <v/>
      </c>
      <c r="C91" s="1415"/>
      <c r="D91" s="1415"/>
      <c r="E91" s="1415"/>
      <c r="F91" s="1415"/>
      <c r="G91" s="1415"/>
      <c r="H91" s="1415"/>
      <c r="I91" s="1415"/>
      <c r="J91" s="1415"/>
      <c r="K91" s="1415"/>
      <c r="L91" s="1415"/>
      <c r="M91" s="1415"/>
      <c r="N91" s="1415"/>
      <c r="O91" s="1415"/>
      <c r="P91" s="1415" t="str">
        <f>UPPER(Information!Q30)</f>
        <v/>
      </c>
      <c r="Q91" s="1415"/>
      <c r="R91" s="1415"/>
      <c r="S91" s="1415"/>
      <c r="T91" s="1415"/>
      <c r="U91" s="1415"/>
      <c r="V91" s="1415"/>
      <c r="W91" s="1415"/>
      <c r="X91" s="1415"/>
      <c r="Y91" s="1415"/>
      <c r="Z91" s="1415"/>
      <c r="AA91" s="1415"/>
      <c r="AB91" s="1415"/>
      <c r="AC91" s="1415"/>
      <c r="AD91" s="1415"/>
      <c r="AE91" s="1415"/>
      <c r="AF91" s="1433" t="str">
        <f>IF(ISBLANK(Information!AD30)," ",Information!AD30)</f>
        <v xml:space="preserve"> </v>
      </c>
      <c r="AG91" s="1433"/>
      <c r="AH91" s="1433"/>
      <c r="AI91" s="1433"/>
      <c r="AJ91" s="1433"/>
      <c r="AK91" s="1433"/>
      <c r="AL91" s="1433" t="str">
        <f>IF(ISBLANK(Information!AK30)," ",Information!AK30)</f>
        <v xml:space="preserve"> </v>
      </c>
      <c r="AM91" s="1433"/>
      <c r="AN91" s="1433"/>
      <c r="AO91" s="1433"/>
      <c r="AP91" s="1433"/>
      <c r="AQ91" s="1434"/>
      <c r="AR91" s="548"/>
      <c r="AS91" s="547"/>
    </row>
    <row r="92" spans="1:45" ht="15" customHeight="1">
      <c r="A92" s="1497"/>
      <c r="B92" s="1415"/>
      <c r="C92" s="1415"/>
      <c r="D92" s="1415"/>
      <c r="E92" s="1415"/>
      <c r="F92" s="1415"/>
      <c r="G92" s="1415"/>
      <c r="H92" s="1415"/>
      <c r="I92" s="1415"/>
      <c r="J92" s="1415"/>
      <c r="K92" s="1415"/>
      <c r="L92" s="1415"/>
      <c r="M92" s="1415"/>
      <c r="N92" s="1415"/>
      <c r="O92" s="1415"/>
      <c r="P92" s="1415"/>
      <c r="Q92" s="1415"/>
      <c r="R92" s="1415"/>
      <c r="S92" s="1415"/>
      <c r="T92" s="1415"/>
      <c r="U92" s="1415"/>
      <c r="V92" s="1415"/>
      <c r="W92" s="1415"/>
      <c r="X92" s="1415"/>
      <c r="Y92" s="1415"/>
      <c r="Z92" s="1415"/>
      <c r="AA92" s="1415"/>
      <c r="AB92" s="1415"/>
      <c r="AC92" s="1415"/>
      <c r="AD92" s="1415"/>
      <c r="AE92" s="1415"/>
      <c r="AF92" s="1433"/>
      <c r="AG92" s="1433"/>
      <c r="AH92" s="1433"/>
      <c r="AI92" s="1433"/>
      <c r="AJ92" s="1433"/>
      <c r="AK92" s="1433"/>
      <c r="AL92" s="1433"/>
      <c r="AM92" s="1433"/>
      <c r="AN92" s="1433"/>
      <c r="AO92" s="1433"/>
      <c r="AP92" s="1433"/>
      <c r="AQ92" s="1434"/>
      <c r="AR92" s="548"/>
      <c r="AS92" s="547"/>
    </row>
    <row r="93" spans="1:45" ht="15" customHeight="1">
      <c r="A93" s="1497">
        <v>6</v>
      </c>
      <c r="B93" s="1415" t="str">
        <f>UPPER(Information!B31)&amp;IF(Information!L31="","","（"&amp;VLOOKUP(Information!L31,SCHOOLTRANSLATION,2,0)&amp;"）")</f>
        <v/>
      </c>
      <c r="C93" s="1415"/>
      <c r="D93" s="1415"/>
      <c r="E93" s="1415"/>
      <c r="F93" s="1415"/>
      <c r="G93" s="1415"/>
      <c r="H93" s="1415"/>
      <c r="I93" s="1415"/>
      <c r="J93" s="1415"/>
      <c r="K93" s="1415"/>
      <c r="L93" s="1415"/>
      <c r="M93" s="1415"/>
      <c r="N93" s="1415"/>
      <c r="O93" s="1415"/>
      <c r="P93" s="1415" t="str">
        <f>UPPER(Information!Q31)</f>
        <v/>
      </c>
      <c r="Q93" s="1415"/>
      <c r="R93" s="1415"/>
      <c r="S93" s="1415"/>
      <c r="T93" s="1415"/>
      <c r="U93" s="1415"/>
      <c r="V93" s="1415"/>
      <c r="W93" s="1415"/>
      <c r="X93" s="1415"/>
      <c r="Y93" s="1415"/>
      <c r="Z93" s="1415"/>
      <c r="AA93" s="1415"/>
      <c r="AB93" s="1415"/>
      <c r="AC93" s="1415"/>
      <c r="AD93" s="1415"/>
      <c r="AE93" s="1415"/>
      <c r="AF93" s="1433" t="str">
        <f>IF(ISBLANK(Information!AD31)," ",Information!AD31)</f>
        <v xml:space="preserve"> </v>
      </c>
      <c r="AG93" s="1433"/>
      <c r="AH93" s="1433"/>
      <c r="AI93" s="1433"/>
      <c r="AJ93" s="1433"/>
      <c r="AK93" s="1433"/>
      <c r="AL93" s="1433" t="str">
        <f>IF(ISBLANK(Information!AK31)," ",Information!AK31)</f>
        <v xml:space="preserve"> </v>
      </c>
      <c r="AM93" s="1433"/>
      <c r="AN93" s="1433"/>
      <c r="AO93" s="1433"/>
      <c r="AP93" s="1433"/>
      <c r="AQ93" s="1434"/>
      <c r="AR93" s="548"/>
      <c r="AS93" s="547"/>
    </row>
    <row r="94" spans="1:45" ht="15" customHeight="1">
      <c r="A94" s="1498"/>
      <c r="B94" s="1420"/>
      <c r="C94" s="1420"/>
      <c r="D94" s="1420"/>
      <c r="E94" s="1420"/>
      <c r="F94" s="1420"/>
      <c r="G94" s="1420"/>
      <c r="H94" s="1420"/>
      <c r="I94" s="1420"/>
      <c r="J94" s="1420"/>
      <c r="K94" s="1420"/>
      <c r="L94" s="1420"/>
      <c r="M94" s="1420"/>
      <c r="N94" s="1420"/>
      <c r="O94" s="1420"/>
      <c r="P94" s="1420"/>
      <c r="Q94" s="1420"/>
      <c r="R94" s="1420"/>
      <c r="S94" s="1420"/>
      <c r="T94" s="1420"/>
      <c r="U94" s="1420"/>
      <c r="V94" s="1420"/>
      <c r="W94" s="1420"/>
      <c r="X94" s="1420"/>
      <c r="Y94" s="1420"/>
      <c r="Z94" s="1420"/>
      <c r="AA94" s="1420"/>
      <c r="AB94" s="1420"/>
      <c r="AC94" s="1420"/>
      <c r="AD94" s="1420"/>
      <c r="AE94" s="1420"/>
      <c r="AF94" s="1437"/>
      <c r="AG94" s="1437"/>
      <c r="AH94" s="1437"/>
      <c r="AI94" s="1437"/>
      <c r="AJ94" s="1437"/>
      <c r="AK94" s="1437"/>
      <c r="AL94" s="1437"/>
      <c r="AM94" s="1437"/>
      <c r="AN94" s="1437"/>
      <c r="AO94" s="1437"/>
      <c r="AP94" s="1437"/>
      <c r="AQ94" s="1438"/>
      <c r="AR94" s="548"/>
      <c r="AS94" s="547"/>
    </row>
    <row r="95" spans="1:45" ht="22.5" customHeight="1">
      <c r="A95" s="1585" t="s">
        <v>84</v>
      </c>
      <c r="B95" s="1585"/>
      <c r="C95" s="1585"/>
      <c r="D95" s="1585"/>
      <c r="E95" s="1585"/>
      <c r="F95" s="1585"/>
      <c r="G95" s="1585"/>
      <c r="H95" s="1585"/>
      <c r="I95" s="1585"/>
      <c r="J95" s="1585"/>
      <c r="K95" s="1585"/>
      <c r="L95" s="1585"/>
      <c r="M95" s="1585"/>
      <c r="N95" s="1585"/>
      <c r="O95" s="1585"/>
      <c r="P95" s="1585"/>
      <c r="Q95" s="1585"/>
      <c r="R95" s="1585"/>
      <c r="S95" s="1585"/>
      <c r="T95" s="1585"/>
      <c r="U95" s="1585"/>
      <c r="V95" s="1585"/>
      <c r="W95" s="1585"/>
      <c r="X95" s="1585"/>
      <c r="Y95" s="1585"/>
      <c r="Z95" s="1585"/>
      <c r="AA95" s="1585"/>
      <c r="AB95" s="1585"/>
      <c r="AC95" s="1585"/>
      <c r="AD95" s="1585"/>
      <c r="AE95" s="1585"/>
      <c r="AF95" s="1585"/>
      <c r="AG95" s="1585"/>
      <c r="AH95" s="1585"/>
      <c r="AI95" s="1585"/>
      <c r="AJ95" s="1585"/>
      <c r="AK95" s="1585"/>
      <c r="AL95" s="1585"/>
      <c r="AM95" s="1585"/>
      <c r="AN95" s="1585"/>
      <c r="AO95" s="1585"/>
      <c r="AP95" s="1585"/>
      <c r="AQ95" s="1585"/>
      <c r="AR95" s="548"/>
      <c r="AS95" s="547"/>
    </row>
    <row r="96" spans="1:45" ht="15" customHeight="1">
      <c r="A96" s="1499"/>
      <c r="B96" s="1397" t="str">
        <f>"学　校　名"&amp;IF(APNATION="日本語","","
"&amp;VLOOKUP(APNATION,FORMINFO,43,0))</f>
        <v>学　校　名
School Name</v>
      </c>
      <c r="C96" s="1397"/>
      <c r="D96" s="1397"/>
      <c r="E96" s="1397"/>
      <c r="F96" s="1397"/>
      <c r="G96" s="1397"/>
      <c r="H96" s="1397"/>
      <c r="I96" s="1397"/>
      <c r="J96" s="1397"/>
      <c r="K96" s="1397"/>
      <c r="L96" s="1397"/>
      <c r="M96" s="1397" t="str">
        <f>"所　在　地"&amp;IF(APNATION="日本語","","
"&amp;VLOOKUP(APNATION,FORMINFO,45,0))</f>
        <v>所　在　地
School Address</v>
      </c>
      <c r="N96" s="1397"/>
      <c r="O96" s="1397"/>
      <c r="P96" s="1397"/>
      <c r="Q96" s="1397"/>
      <c r="R96" s="1397"/>
      <c r="S96" s="1397"/>
      <c r="T96" s="1397"/>
      <c r="U96" s="1397"/>
      <c r="V96" s="1397"/>
      <c r="W96" s="1397"/>
      <c r="X96" s="1397"/>
      <c r="Y96" s="1397"/>
      <c r="Z96" s="1397"/>
      <c r="AA96" s="1397"/>
      <c r="AB96" s="1397"/>
      <c r="AC96" s="1397"/>
      <c r="AD96" s="1397"/>
      <c r="AE96" s="1397"/>
      <c r="AF96" s="1397" t="str">
        <f>"入学年月"&amp;IF(APNATION="日本語","","
"&amp;VLOOKUP(APNATION,FORMINFO,46,0))</f>
        <v>入学年月
Entrance Date</v>
      </c>
      <c r="AG96" s="1397"/>
      <c r="AH96" s="1397"/>
      <c r="AI96" s="1397"/>
      <c r="AJ96" s="1397"/>
      <c r="AK96" s="1397"/>
      <c r="AL96" s="1397" t="str">
        <f>"卒業年月"&amp;IF(APNATION="日本語","","
"&amp;VLOOKUP(APNATION,FORMINFO,47,0))</f>
        <v>卒業年月
Graduation Date</v>
      </c>
      <c r="AM96" s="1397"/>
      <c r="AN96" s="1397"/>
      <c r="AO96" s="1397"/>
      <c r="AP96" s="1397"/>
      <c r="AQ96" s="1412"/>
      <c r="AR96" s="548"/>
      <c r="AS96" s="547"/>
    </row>
    <row r="97" spans="1:45" s="536" customFormat="1" ht="15" customHeight="1">
      <c r="A97" s="1498"/>
      <c r="B97" s="1398"/>
      <c r="C97" s="1398"/>
      <c r="D97" s="1398"/>
      <c r="E97" s="1398"/>
      <c r="F97" s="1398"/>
      <c r="G97" s="1398"/>
      <c r="H97" s="1398"/>
      <c r="I97" s="1398"/>
      <c r="J97" s="1398"/>
      <c r="K97" s="1398"/>
      <c r="L97" s="1398"/>
      <c r="M97" s="1398"/>
      <c r="N97" s="1398"/>
      <c r="O97" s="1398"/>
      <c r="P97" s="1398"/>
      <c r="Q97" s="1398"/>
      <c r="R97" s="1398"/>
      <c r="S97" s="1398"/>
      <c r="T97" s="1398"/>
      <c r="U97" s="1398"/>
      <c r="V97" s="1398"/>
      <c r="W97" s="1398"/>
      <c r="X97" s="1398"/>
      <c r="Y97" s="1398"/>
      <c r="Z97" s="1398"/>
      <c r="AA97" s="1398"/>
      <c r="AB97" s="1398"/>
      <c r="AC97" s="1398"/>
      <c r="AD97" s="1398"/>
      <c r="AE97" s="1398"/>
      <c r="AF97" s="1398"/>
      <c r="AG97" s="1398"/>
      <c r="AH97" s="1398"/>
      <c r="AI97" s="1398"/>
      <c r="AJ97" s="1398"/>
      <c r="AK97" s="1398"/>
      <c r="AL97" s="1398"/>
      <c r="AM97" s="1398"/>
      <c r="AN97" s="1398"/>
      <c r="AO97" s="1398"/>
      <c r="AP97" s="1398"/>
      <c r="AQ97" s="1413"/>
      <c r="AR97" s="570"/>
    </row>
    <row r="98" spans="1:45" ht="15" customHeight="1">
      <c r="A98" s="1496">
        <v>1</v>
      </c>
      <c r="B98" s="1617" t="str">
        <f>UPPER(Information!B35)</f>
        <v/>
      </c>
      <c r="C98" s="1617"/>
      <c r="D98" s="1617"/>
      <c r="E98" s="1617"/>
      <c r="F98" s="1617"/>
      <c r="G98" s="1617"/>
      <c r="H98" s="1617"/>
      <c r="I98" s="1617"/>
      <c r="J98" s="1617"/>
      <c r="K98" s="1617"/>
      <c r="L98" s="1617"/>
      <c r="M98" s="1617" t="str">
        <f>UPPER(Information!L35)</f>
        <v/>
      </c>
      <c r="N98" s="1617"/>
      <c r="O98" s="1617"/>
      <c r="P98" s="1617"/>
      <c r="Q98" s="1617"/>
      <c r="R98" s="1617"/>
      <c r="S98" s="1617"/>
      <c r="T98" s="1617"/>
      <c r="U98" s="1617"/>
      <c r="V98" s="1617"/>
      <c r="W98" s="1617"/>
      <c r="X98" s="1617"/>
      <c r="Y98" s="1617"/>
      <c r="Z98" s="1617"/>
      <c r="AA98" s="1617"/>
      <c r="AB98" s="1617"/>
      <c r="AC98" s="1617"/>
      <c r="AD98" s="1617"/>
      <c r="AE98" s="1617"/>
      <c r="AF98" s="1435">
        <f>Information!AD35</f>
        <v>0</v>
      </c>
      <c r="AG98" s="1435"/>
      <c r="AH98" s="1435"/>
      <c r="AI98" s="1435"/>
      <c r="AJ98" s="1435"/>
      <c r="AK98" s="1435"/>
      <c r="AL98" s="1435">
        <f>Information!AK35</f>
        <v>0</v>
      </c>
      <c r="AM98" s="1435"/>
      <c r="AN98" s="1435"/>
      <c r="AO98" s="1435"/>
      <c r="AP98" s="1435"/>
      <c r="AQ98" s="1436"/>
      <c r="AR98" s="548"/>
      <c r="AS98" s="547"/>
    </row>
    <row r="99" spans="1:45" ht="15" customHeight="1">
      <c r="A99" s="1497"/>
      <c r="B99" s="1464"/>
      <c r="C99" s="1464"/>
      <c r="D99" s="1464"/>
      <c r="E99" s="1464"/>
      <c r="F99" s="1464"/>
      <c r="G99" s="1464"/>
      <c r="H99" s="1464"/>
      <c r="I99" s="1464"/>
      <c r="J99" s="1464"/>
      <c r="K99" s="1464"/>
      <c r="L99" s="1464"/>
      <c r="M99" s="1464"/>
      <c r="N99" s="1464"/>
      <c r="O99" s="1464"/>
      <c r="P99" s="1464"/>
      <c r="Q99" s="1464"/>
      <c r="R99" s="1464"/>
      <c r="S99" s="1464"/>
      <c r="T99" s="1464"/>
      <c r="U99" s="1464"/>
      <c r="V99" s="1464"/>
      <c r="W99" s="1464"/>
      <c r="X99" s="1464"/>
      <c r="Y99" s="1464"/>
      <c r="Z99" s="1464"/>
      <c r="AA99" s="1464"/>
      <c r="AB99" s="1464"/>
      <c r="AC99" s="1464"/>
      <c r="AD99" s="1464"/>
      <c r="AE99" s="1464"/>
      <c r="AF99" s="1433"/>
      <c r="AG99" s="1433"/>
      <c r="AH99" s="1433"/>
      <c r="AI99" s="1433"/>
      <c r="AJ99" s="1433"/>
      <c r="AK99" s="1433"/>
      <c r="AL99" s="1433"/>
      <c r="AM99" s="1433"/>
      <c r="AN99" s="1433"/>
      <c r="AO99" s="1433"/>
      <c r="AP99" s="1433"/>
      <c r="AQ99" s="1434"/>
      <c r="AR99" s="548"/>
      <c r="AS99" s="547"/>
    </row>
    <row r="100" spans="1:45" ht="15" customHeight="1">
      <c r="A100" s="1497">
        <v>2</v>
      </c>
      <c r="B100" s="1464" t="str">
        <f>UPPER(Information!B36)</f>
        <v/>
      </c>
      <c r="C100" s="1464"/>
      <c r="D100" s="1464"/>
      <c r="E100" s="1464"/>
      <c r="F100" s="1464"/>
      <c r="G100" s="1464"/>
      <c r="H100" s="1464"/>
      <c r="I100" s="1464"/>
      <c r="J100" s="1464"/>
      <c r="K100" s="1464"/>
      <c r="L100" s="1464"/>
      <c r="M100" s="1464" t="str">
        <f>UPPER(Information!L36)</f>
        <v/>
      </c>
      <c r="N100" s="1464"/>
      <c r="O100" s="1464"/>
      <c r="P100" s="1464"/>
      <c r="Q100" s="1464"/>
      <c r="R100" s="1464"/>
      <c r="S100" s="1464"/>
      <c r="T100" s="1464"/>
      <c r="U100" s="1464"/>
      <c r="V100" s="1464"/>
      <c r="W100" s="1464"/>
      <c r="X100" s="1464"/>
      <c r="Y100" s="1464"/>
      <c r="Z100" s="1464"/>
      <c r="AA100" s="1464"/>
      <c r="AB100" s="1464"/>
      <c r="AC100" s="1464"/>
      <c r="AD100" s="1464"/>
      <c r="AE100" s="1464"/>
      <c r="AF100" s="1433" t="str">
        <f>IF(ISBLANK(Information!$AD$36)," ",Information!$AD$36)</f>
        <v xml:space="preserve"> </v>
      </c>
      <c r="AG100" s="1433"/>
      <c r="AH100" s="1433"/>
      <c r="AI100" s="1433"/>
      <c r="AJ100" s="1433"/>
      <c r="AK100" s="1433"/>
      <c r="AL100" s="1433" t="str">
        <f>IF(ISBLANK(Information!$AK$36)," ",Information!$AK$36)</f>
        <v xml:space="preserve"> </v>
      </c>
      <c r="AM100" s="1433"/>
      <c r="AN100" s="1433"/>
      <c r="AO100" s="1433"/>
      <c r="AP100" s="1433"/>
      <c r="AQ100" s="1434"/>
      <c r="AR100" s="548"/>
      <c r="AS100" s="547"/>
    </row>
    <row r="101" spans="1:45" ht="15" customHeight="1">
      <c r="A101" s="1497"/>
      <c r="B101" s="1464"/>
      <c r="C101" s="1464"/>
      <c r="D101" s="1464"/>
      <c r="E101" s="1464"/>
      <c r="F101" s="1464"/>
      <c r="G101" s="1464"/>
      <c r="H101" s="1464"/>
      <c r="I101" s="1464"/>
      <c r="J101" s="1464"/>
      <c r="K101" s="1464"/>
      <c r="L101" s="1464"/>
      <c r="M101" s="1464"/>
      <c r="N101" s="1464"/>
      <c r="O101" s="1464"/>
      <c r="P101" s="1464"/>
      <c r="Q101" s="1464"/>
      <c r="R101" s="1464"/>
      <c r="S101" s="1464"/>
      <c r="T101" s="1464"/>
      <c r="U101" s="1464"/>
      <c r="V101" s="1464"/>
      <c r="W101" s="1464"/>
      <c r="X101" s="1464"/>
      <c r="Y101" s="1464"/>
      <c r="Z101" s="1464"/>
      <c r="AA101" s="1464"/>
      <c r="AB101" s="1464"/>
      <c r="AC101" s="1464"/>
      <c r="AD101" s="1464"/>
      <c r="AE101" s="1464"/>
      <c r="AF101" s="1433"/>
      <c r="AG101" s="1433"/>
      <c r="AH101" s="1433"/>
      <c r="AI101" s="1433"/>
      <c r="AJ101" s="1433"/>
      <c r="AK101" s="1433"/>
      <c r="AL101" s="1433"/>
      <c r="AM101" s="1433"/>
      <c r="AN101" s="1433"/>
      <c r="AO101" s="1433"/>
      <c r="AP101" s="1433"/>
      <c r="AQ101" s="1434"/>
      <c r="AR101" s="31"/>
      <c r="AS101" s="548"/>
    </row>
    <row r="102" spans="1:45" ht="15" customHeight="1">
      <c r="A102" s="1497">
        <v>3</v>
      </c>
      <c r="B102" s="1464" t="str">
        <f>UPPER(Information!B37)</f>
        <v/>
      </c>
      <c r="C102" s="1464"/>
      <c r="D102" s="1464"/>
      <c r="E102" s="1464"/>
      <c r="F102" s="1464"/>
      <c r="G102" s="1464"/>
      <c r="H102" s="1464"/>
      <c r="I102" s="1464"/>
      <c r="J102" s="1464"/>
      <c r="K102" s="1464"/>
      <c r="L102" s="1464"/>
      <c r="M102" s="1464" t="str">
        <f>UPPER(Information!L37)</f>
        <v/>
      </c>
      <c r="N102" s="1464"/>
      <c r="O102" s="1464"/>
      <c r="P102" s="1464"/>
      <c r="Q102" s="1464"/>
      <c r="R102" s="1464"/>
      <c r="S102" s="1464"/>
      <c r="T102" s="1464"/>
      <c r="U102" s="1464"/>
      <c r="V102" s="1464"/>
      <c r="W102" s="1464"/>
      <c r="X102" s="1464"/>
      <c r="Y102" s="1464"/>
      <c r="Z102" s="1464"/>
      <c r="AA102" s="1464"/>
      <c r="AB102" s="1464"/>
      <c r="AC102" s="1464"/>
      <c r="AD102" s="1464"/>
      <c r="AE102" s="1464"/>
      <c r="AF102" s="1433" t="str">
        <f>IF(ISBLANK(Information!$AD$37)," ",Information!$AD$37)</f>
        <v xml:space="preserve"> </v>
      </c>
      <c r="AG102" s="1433"/>
      <c r="AH102" s="1433"/>
      <c r="AI102" s="1433"/>
      <c r="AJ102" s="1433"/>
      <c r="AK102" s="1433"/>
      <c r="AL102" s="1433" t="str">
        <f>IF(ISBLANK(Information!$AK$37)," ",Information!$AK$37)</f>
        <v xml:space="preserve"> </v>
      </c>
      <c r="AM102" s="1433"/>
      <c r="AN102" s="1433"/>
      <c r="AO102" s="1433"/>
      <c r="AP102" s="1433"/>
      <c r="AQ102" s="1434"/>
      <c r="AR102" s="535"/>
      <c r="AS102" s="548"/>
    </row>
    <row r="103" spans="1:45" ht="15" customHeight="1">
      <c r="A103" s="1498"/>
      <c r="B103" s="1465"/>
      <c r="C103" s="1465"/>
      <c r="D103" s="1465"/>
      <c r="E103" s="1465"/>
      <c r="F103" s="1465"/>
      <c r="G103" s="1465"/>
      <c r="H103" s="1465"/>
      <c r="I103" s="1465"/>
      <c r="J103" s="1465"/>
      <c r="K103" s="1465"/>
      <c r="L103" s="1465"/>
      <c r="M103" s="1465"/>
      <c r="N103" s="1465"/>
      <c r="O103" s="1465"/>
      <c r="P103" s="1465"/>
      <c r="Q103" s="1465"/>
      <c r="R103" s="1465"/>
      <c r="S103" s="1465"/>
      <c r="T103" s="1465"/>
      <c r="U103" s="1465"/>
      <c r="V103" s="1465"/>
      <c r="W103" s="1465"/>
      <c r="X103" s="1465"/>
      <c r="Y103" s="1465"/>
      <c r="Z103" s="1465"/>
      <c r="AA103" s="1465"/>
      <c r="AB103" s="1465"/>
      <c r="AC103" s="1465"/>
      <c r="AD103" s="1465"/>
      <c r="AE103" s="1465"/>
      <c r="AF103" s="1437"/>
      <c r="AG103" s="1437"/>
      <c r="AH103" s="1437"/>
      <c r="AI103" s="1437"/>
      <c r="AJ103" s="1437"/>
      <c r="AK103" s="1437"/>
      <c r="AL103" s="1437"/>
      <c r="AM103" s="1437"/>
      <c r="AN103" s="1437"/>
      <c r="AO103" s="1437"/>
      <c r="AP103" s="1437"/>
      <c r="AQ103" s="1438"/>
      <c r="AR103" s="535"/>
      <c r="AS103" s="548"/>
    </row>
    <row r="104" spans="1:45" ht="21.75" customHeight="1">
      <c r="A104" s="1585" t="s">
        <v>85</v>
      </c>
      <c r="B104" s="1585"/>
      <c r="C104" s="1585"/>
      <c r="D104" s="1585"/>
      <c r="E104" s="1585"/>
      <c r="F104" s="1585"/>
      <c r="G104" s="1585"/>
      <c r="H104" s="1585"/>
      <c r="I104" s="1585"/>
      <c r="J104" s="1585"/>
      <c r="K104" s="1585"/>
      <c r="L104" s="1585"/>
      <c r="M104" s="1585"/>
      <c r="N104" s="1585"/>
      <c r="O104" s="1585"/>
      <c r="P104" s="1585"/>
      <c r="Q104" s="1585"/>
      <c r="R104" s="1585"/>
      <c r="S104" s="1585"/>
      <c r="T104" s="1585"/>
      <c r="U104" s="1585"/>
      <c r="V104" s="1585"/>
      <c r="W104" s="1585"/>
      <c r="X104" s="1585"/>
      <c r="Y104" s="1585"/>
      <c r="Z104" s="1585"/>
      <c r="AA104" s="1585"/>
      <c r="AB104" s="1585"/>
      <c r="AC104" s="1585"/>
      <c r="AD104" s="1585"/>
      <c r="AE104" s="1585"/>
      <c r="AF104" s="1585"/>
      <c r="AG104" s="1585"/>
      <c r="AH104" s="1585"/>
      <c r="AI104" s="1585"/>
      <c r="AJ104" s="1585"/>
      <c r="AK104" s="1585"/>
      <c r="AL104" s="1585"/>
      <c r="AM104" s="1585"/>
      <c r="AN104" s="1585"/>
      <c r="AO104" s="1585"/>
      <c r="AP104" s="1585"/>
      <c r="AQ104" s="1585"/>
      <c r="AR104" s="548"/>
      <c r="AS104" s="547"/>
    </row>
    <row r="105" spans="1:45" ht="15" customHeight="1">
      <c r="A105" s="1499"/>
      <c r="B105" s="1397" t="str">
        <f>"会　社　名"&amp;IF(APNATION="日本語","","
"&amp;VLOOKUP(APNATION,FORMINFO,37,0))</f>
        <v>会　社　名
Workplace Name</v>
      </c>
      <c r="C105" s="1397"/>
      <c r="D105" s="1397"/>
      <c r="E105" s="1397"/>
      <c r="F105" s="1397"/>
      <c r="G105" s="1397"/>
      <c r="H105" s="1397"/>
      <c r="I105" s="1397"/>
      <c r="J105" s="1397"/>
      <c r="K105" s="1397"/>
      <c r="L105" s="1397"/>
      <c r="M105" s="1397" t="str">
        <f>"所　在　地
"&amp;IF(APNATION="","",VLOOKUP(APNATION,FORMINFO,38,0))</f>
        <v>所　在　地
Work Address</v>
      </c>
      <c r="N105" s="1397"/>
      <c r="O105" s="1397"/>
      <c r="P105" s="1397"/>
      <c r="Q105" s="1397"/>
      <c r="R105" s="1397"/>
      <c r="S105" s="1397"/>
      <c r="T105" s="1397"/>
      <c r="U105" s="1397"/>
      <c r="V105" s="1397"/>
      <c r="W105" s="1397"/>
      <c r="X105" s="1397"/>
      <c r="Y105" s="1397"/>
      <c r="Z105" s="1397"/>
      <c r="AA105" s="1397"/>
      <c r="AB105" s="1397"/>
      <c r="AC105" s="1397"/>
      <c r="AD105" s="1397"/>
      <c r="AE105" s="1397"/>
      <c r="AF105" s="1397" t="str">
        <f>"入社年月"&amp;IF(APNATION="日本語","","
"&amp;VLOOKUP(APNATION,FORMINFO,39,0))</f>
        <v>入社年月
Start Date</v>
      </c>
      <c r="AG105" s="1397"/>
      <c r="AH105" s="1397"/>
      <c r="AI105" s="1397"/>
      <c r="AJ105" s="1397"/>
      <c r="AK105" s="1397"/>
      <c r="AL105" s="1397" t="str">
        <f>"退社年月"&amp;IF(APNATION="日本語","","
"&amp;VLOOKUP(APNATION,FORMINFO,40,0))</f>
        <v>退社年月
Finish Date</v>
      </c>
      <c r="AM105" s="1397"/>
      <c r="AN105" s="1397"/>
      <c r="AO105" s="1397"/>
      <c r="AP105" s="1397"/>
      <c r="AQ105" s="1412"/>
      <c r="AR105" s="548"/>
      <c r="AS105" s="547"/>
    </row>
    <row r="106" spans="1:45" ht="15" customHeight="1">
      <c r="A106" s="1498"/>
      <c r="B106" s="1398"/>
      <c r="C106" s="1398"/>
      <c r="D106" s="1398"/>
      <c r="E106" s="1398"/>
      <c r="F106" s="1398"/>
      <c r="G106" s="1398"/>
      <c r="H106" s="1398"/>
      <c r="I106" s="1398"/>
      <c r="J106" s="1398"/>
      <c r="K106" s="1398"/>
      <c r="L106" s="1398"/>
      <c r="M106" s="1398"/>
      <c r="N106" s="1398"/>
      <c r="O106" s="1398"/>
      <c r="P106" s="1398"/>
      <c r="Q106" s="1398"/>
      <c r="R106" s="1398"/>
      <c r="S106" s="1398"/>
      <c r="T106" s="1398"/>
      <c r="U106" s="1398"/>
      <c r="V106" s="1398"/>
      <c r="W106" s="1398"/>
      <c r="X106" s="1398"/>
      <c r="Y106" s="1398"/>
      <c r="Z106" s="1398"/>
      <c r="AA106" s="1398"/>
      <c r="AB106" s="1398"/>
      <c r="AC106" s="1398"/>
      <c r="AD106" s="1398"/>
      <c r="AE106" s="1398"/>
      <c r="AF106" s="1398"/>
      <c r="AG106" s="1398"/>
      <c r="AH106" s="1398"/>
      <c r="AI106" s="1398"/>
      <c r="AJ106" s="1398"/>
      <c r="AK106" s="1398"/>
      <c r="AL106" s="1398"/>
      <c r="AM106" s="1398"/>
      <c r="AN106" s="1398"/>
      <c r="AO106" s="1398"/>
      <c r="AP106" s="1398"/>
      <c r="AQ106" s="1413"/>
      <c r="AR106" s="548"/>
      <c r="AS106" s="547"/>
    </row>
    <row r="107" spans="1:45" ht="30" customHeight="1">
      <c r="A107" s="558">
        <v>1</v>
      </c>
      <c r="B107" s="1615" t="str">
        <f>UPPER(IF(Information!$B$46="","無し",Information!$B$46))</f>
        <v>無し</v>
      </c>
      <c r="C107" s="1615"/>
      <c r="D107" s="1615"/>
      <c r="E107" s="1615"/>
      <c r="F107" s="1615"/>
      <c r="G107" s="1615"/>
      <c r="H107" s="1615"/>
      <c r="I107" s="1615"/>
      <c r="J107" s="1615"/>
      <c r="K107" s="1615"/>
      <c r="L107" s="1615"/>
      <c r="M107" s="1616" t="str">
        <f>UPPER(Information!O46)</f>
        <v/>
      </c>
      <c r="N107" s="1616"/>
      <c r="O107" s="1616"/>
      <c r="P107" s="1616"/>
      <c r="Q107" s="1616"/>
      <c r="R107" s="1616"/>
      <c r="S107" s="1616"/>
      <c r="T107" s="1616"/>
      <c r="U107" s="1616"/>
      <c r="V107" s="1616"/>
      <c r="W107" s="1616"/>
      <c r="X107" s="1616"/>
      <c r="Y107" s="1616"/>
      <c r="Z107" s="1616"/>
      <c r="AA107" s="1616"/>
      <c r="AB107" s="1616"/>
      <c r="AC107" s="1616"/>
      <c r="AD107" s="1616"/>
      <c r="AE107" s="1616"/>
      <c r="AF107" s="1435" t="str">
        <f>IF(ISBLANK(Information!AD46)," ",Information!AD46)</f>
        <v xml:space="preserve"> </v>
      </c>
      <c r="AG107" s="1435"/>
      <c r="AH107" s="1435"/>
      <c r="AI107" s="1435"/>
      <c r="AJ107" s="1435"/>
      <c r="AK107" s="1435"/>
      <c r="AL107" s="1435" t="str">
        <f>IF(ISBLANK(Information!AK46)," ",Information!AK46)</f>
        <v xml:space="preserve"> </v>
      </c>
      <c r="AM107" s="1435"/>
      <c r="AN107" s="1435"/>
      <c r="AO107" s="1435"/>
      <c r="AP107" s="1435"/>
      <c r="AQ107" s="1436"/>
      <c r="AR107" s="548"/>
      <c r="AS107" s="547"/>
    </row>
    <row r="108" spans="1:45" ht="30" customHeight="1">
      <c r="A108" s="559">
        <v>2</v>
      </c>
      <c r="B108" s="1608" t="str">
        <f>UPPER(Information!B47)</f>
        <v/>
      </c>
      <c r="C108" s="1608"/>
      <c r="D108" s="1608"/>
      <c r="E108" s="1608"/>
      <c r="F108" s="1608"/>
      <c r="G108" s="1608"/>
      <c r="H108" s="1608"/>
      <c r="I108" s="1608"/>
      <c r="J108" s="1608"/>
      <c r="K108" s="1608"/>
      <c r="L108" s="1608"/>
      <c r="M108" s="1609" t="str">
        <f>UPPER(Information!O47)</f>
        <v/>
      </c>
      <c r="N108" s="1609"/>
      <c r="O108" s="1609"/>
      <c r="P108" s="1609"/>
      <c r="Q108" s="1609"/>
      <c r="R108" s="1609"/>
      <c r="S108" s="1609"/>
      <c r="T108" s="1609"/>
      <c r="U108" s="1609"/>
      <c r="V108" s="1609"/>
      <c r="W108" s="1609"/>
      <c r="X108" s="1609"/>
      <c r="Y108" s="1609"/>
      <c r="Z108" s="1609"/>
      <c r="AA108" s="1609"/>
      <c r="AB108" s="1609"/>
      <c r="AC108" s="1609"/>
      <c r="AD108" s="1609"/>
      <c r="AE108" s="1609"/>
      <c r="AF108" s="1433" t="str">
        <f>IF(ISBLANK(Information!AD47)," ",Information!AD47)</f>
        <v xml:space="preserve"> </v>
      </c>
      <c r="AG108" s="1433"/>
      <c r="AH108" s="1433"/>
      <c r="AI108" s="1433"/>
      <c r="AJ108" s="1433"/>
      <c r="AK108" s="1433"/>
      <c r="AL108" s="1433" t="str">
        <f>IF(ISBLANK(Information!AK47)," ",Information!AK47)</f>
        <v xml:space="preserve"> </v>
      </c>
      <c r="AM108" s="1433"/>
      <c r="AN108" s="1433"/>
      <c r="AO108" s="1433"/>
      <c r="AP108" s="1433"/>
      <c r="AQ108" s="1434"/>
      <c r="AR108" s="548"/>
      <c r="AS108" s="547"/>
    </row>
    <row r="109" spans="1:45" ht="30" customHeight="1">
      <c r="A109" s="560">
        <v>3</v>
      </c>
      <c r="B109" s="1608" t="str">
        <f>UPPER(Information!B48)</f>
        <v/>
      </c>
      <c r="C109" s="1608"/>
      <c r="D109" s="1608"/>
      <c r="E109" s="1608"/>
      <c r="F109" s="1608"/>
      <c r="G109" s="1608"/>
      <c r="H109" s="1608"/>
      <c r="I109" s="1608"/>
      <c r="J109" s="1608"/>
      <c r="K109" s="1608"/>
      <c r="L109" s="1608"/>
      <c r="M109" s="1609" t="str">
        <f>UPPER(Information!O48)</f>
        <v/>
      </c>
      <c r="N109" s="1609"/>
      <c r="O109" s="1609"/>
      <c r="P109" s="1609"/>
      <c r="Q109" s="1609"/>
      <c r="R109" s="1609"/>
      <c r="S109" s="1609"/>
      <c r="T109" s="1609"/>
      <c r="U109" s="1609"/>
      <c r="V109" s="1609"/>
      <c r="W109" s="1609"/>
      <c r="X109" s="1609"/>
      <c r="Y109" s="1609"/>
      <c r="Z109" s="1609"/>
      <c r="AA109" s="1609"/>
      <c r="AB109" s="1609"/>
      <c r="AC109" s="1609"/>
      <c r="AD109" s="1609"/>
      <c r="AE109" s="1609"/>
      <c r="AF109" s="1433" t="str">
        <f>IF(ISBLANK(Information!AD48)," ",Information!AD48)</f>
        <v xml:space="preserve"> </v>
      </c>
      <c r="AG109" s="1433"/>
      <c r="AH109" s="1433"/>
      <c r="AI109" s="1433"/>
      <c r="AJ109" s="1433"/>
      <c r="AK109" s="1433"/>
      <c r="AL109" s="1433" t="str">
        <f>IF(ISBLANK(Information!AK48)," ",Information!AK48)</f>
        <v xml:space="preserve"> </v>
      </c>
      <c r="AM109" s="1433"/>
      <c r="AN109" s="1433"/>
      <c r="AO109" s="1433"/>
      <c r="AP109" s="1433"/>
      <c r="AQ109" s="1434"/>
      <c r="AR109" s="548"/>
      <c r="AS109" s="547"/>
    </row>
    <row r="110" spans="1:45" ht="30" customHeight="1">
      <c r="A110" s="560">
        <v>4</v>
      </c>
      <c r="B110" s="1608" t="str">
        <f>UPPER(Information!B49)</f>
        <v/>
      </c>
      <c r="C110" s="1608"/>
      <c r="D110" s="1608"/>
      <c r="E110" s="1608"/>
      <c r="F110" s="1608"/>
      <c r="G110" s="1608"/>
      <c r="H110" s="1608"/>
      <c r="I110" s="1608"/>
      <c r="J110" s="1608"/>
      <c r="K110" s="1608"/>
      <c r="L110" s="1608"/>
      <c r="M110" s="1609" t="str">
        <f>UPPER(Information!O49)</f>
        <v/>
      </c>
      <c r="N110" s="1609"/>
      <c r="O110" s="1609"/>
      <c r="P110" s="1609"/>
      <c r="Q110" s="1609"/>
      <c r="R110" s="1609"/>
      <c r="S110" s="1609"/>
      <c r="T110" s="1609"/>
      <c r="U110" s="1609"/>
      <c r="V110" s="1609"/>
      <c r="W110" s="1609"/>
      <c r="X110" s="1609"/>
      <c r="Y110" s="1609"/>
      <c r="Z110" s="1609"/>
      <c r="AA110" s="1609"/>
      <c r="AB110" s="1609"/>
      <c r="AC110" s="1609"/>
      <c r="AD110" s="1609"/>
      <c r="AE110" s="1609"/>
      <c r="AF110" s="1433" t="str">
        <f>IF(ISBLANK(Information!AD49)," ",Information!AD49)</f>
        <v xml:space="preserve"> </v>
      </c>
      <c r="AG110" s="1433"/>
      <c r="AH110" s="1433"/>
      <c r="AI110" s="1433"/>
      <c r="AJ110" s="1433"/>
      <c r="AK110" s="1433"/>
      <c r="AL110" s="1433" t="str">
        <f>IF(ISBLANK(Information!AK49)," ",Information!AK49)</f>
        <v xml:space="preserve"> </v>
      </c>
      <c r="AM110" s="1433"/>
      <c r="AN110" s="1433"/>
      <c r="AO110" s="1433"/>
      <c r="AP110" s="1433"/>
      <c r="AQ110" s="1434"/>
    </row>
    <row r="111" spans="1:45" ht="30" customHeight="1">
      <c r="A111" s="561">
        <v>5</v>
      </c>
      <c r="B111" s="1610"/>
      <c r="C111" s="1611"/>
      <c r="D111" s="1611"/>
      <c r="E111" s="1611"/>
      <c r="F111" s="1611"/>
      <c r="G111" s="1611"/>
      <c r="H111" s="1611"/>
      <c r="I111" s="1611"/>
      <c r="J111" s="1611"/>
      <c r="K111" s="1611"/>
      <c r="L111" s="1612"/>
      <c r="M111" s="1613"/>
      <c r="N111" s="1613"/>
      <c r="O111" s="1613"/>
      <c r="P111" s="1613"/>
      <c r="Q111" s="1613"/>
      <c r="R111" s="1613"/>
      <c r="S111" s="1613"/>
      <c r="T111" s="1613"/>
      <c r="U111" s="1613"/>
      <c r="V111" s="1613"/>
      <c r="W111" s="1613"/>
      <c r="X111" s="1613"/>
      <c r="Y111" s="1613"/>
      <c r="Z111" s="1613"/>
      <c r="AA111" s="1613"/>
      <c r="AB111" s="1613"/>
      <c r="AC111" s="1613"/>
      <c r="AD111" s="1613"/>
      <c r="AE111" s="1613"/>
      <c r="AF111" s="1437" t="str">
        <f>IF(ISBLANK(Information!AD50)," ",Information!AD50)</f>
        <v xml:space="preserve"> </v>
      </c>
      <c r="AG111" s="1437"/>
      <c r="AH111" s="1437"/>
      <c r="AI111" s="1437"/>
      <c r="AJ111" s="1437"/>
      <c r="AK111" s="1437"/>
      <c r="AL111" s="1437" t="str">
        <f>IF(ISBLANK(Information!AK50)," ",Information!AK50)</f>
        <v xml:space="preserve"> </v>
      </c>
      <c r="AM111" s="1437"/>
      <c r="AN111" s="1437"/>
      <c r="AO111" s="1437"/>
      <c r="AP111" s="1437"/>
      <c r="AQ111" s="1438"/>
    </row>
    <row r="112" spans="1:45" ht="22.5" customHeight="1">
      <c r="A112" s="1585" t="s">
        <v>86</v>
      </c>
      <c r="B112" s="1585"/>
      <c r="C112" s="1585"/>
      <c r="D112" s="1585"/>
      <c r="E112" s="1585"/>
      <c r="F112" s="1585"/>
      <c r="G112" s="1585"/>
      <c r="H112" s="1585"/>
      <c r="I112" s="1585"/>
      <c r="J112" s="1585"/>
      <c r="K112" s="1585"/>
      <c r="L112" s="1585"/>
      <c r="M112" s="1585"/>
      <c r="N112" s="1585"/>
      <c r="O112" s="1585"/>
      <c r="P112" s="1585"/>
      <c r="Q112" s="1585"/>
      <c r="R112" s="1585"/>
      <c r="S112" s="1585"/>
      <c r="T112" s="1585"/>
      <c r="U112" s="1585"/>
      <c r="V112" s="1585"/>
      <c r="W112" s="1585"/>
      <c r="X112" s="1585"/>
      <c r="Y112" s="1585"/>
      <c r="Z112" s="1585"/>
      <c r="AA112" s="1585"/>
      <c r="AB112" s="1585"/>
      <c r="AC112" s="1585"/>
      <c r="AD112" s="1585"/>
      <c r="AE112" s="1585"/>
      <c r="AF112" s="1585"/>
      <c r="AG112" s="1585"/>
      <c r="AH112" s="1585"/>
      <c r="AI112" s="1585"/>
      <c r="AJ112" s="1585"/>
      <c r="AK112" s="1585"/>
      <c r="AL112" s="1585"/>
      <c r="AM112" s="1585"/>
      <c r="AN112" s="1585"/>
      <c r="AO112" s="1585"/>
      <c r="AP112" s="1585"/>
      <c r="AQ112" s="1585"/>
      <c r="AR112" s="31"/>
    </row>
    <row r="113" spans="1:70" ht="15" customHeight="1">
      <c r="A113" s="1499"/>
      <c r="B113" s="1397" t="str">
        <f>"入国年月日"&amp;IF(APNATION="日本語","","
"&amp;VLOOKUP(APNATION,FORMINFO,29,0))</f>
        <v>入国年月日
Arrival Date</v>
      </c>
      <c r="C113" s="1397"/>
      <c r="D113" s="1397"/>
      <c r="E113" s="1397"/>
      <c r="F113" s="1397"/>
      <c r="G113" s="1397"/>
      <c r="H113" s="1397"/>
      <c r="I113" s="1397" t="str">
        <f>"出国年月日"&amp;IF(APNATION="日本語","","
"&amp;VLOOKUP(APNATION,FORMINFO,30,0))</f>
        <v>出国年月日
Departure Date</v>
      </c>
      <c r="J113" s="1397"/>
      <c r="K113" s="1397"/>
      <c r="L113" s="1397"/>
      <c r="M113" s="1397"/>
      <c r="N113" s="1397"/>
      <c r="O113" s="1397"/>
      <c r="P113" s="1397" t="str">
        <f>"在留資格"&amp;IF(APNATION="日本語","","
"&amp;VLOOKUP(APNATION,FORMINFO,31,0))</f>
        <v>在留資格
Satus of Residence</v>
      </c>
      <c r="Q113" s="1397"/>
      <c r="R113" s="1397"/>
      <c r="S113" s="1397"/>
      <c r="T113" s="1397"/>
      <c r="U113" s="1397"/>
      <c r="V113" s="1397"/>
      <c r="W113" s="1397"/>
      <c r="X113" s="1397"/>
      <c r="Y113" s="1397"/>
      <c r="Z113" s="1397"/>
      <c r="AA113" s="1397"/>
      <c r="AB113" s="1397" t="str">
        <f>"入国目的"&amp;IF(APNATION="日本語","","
"&amp;VLOOKUP(APNATION,FORMINFO,32,0))</f>
        <v>入国目的
Purpose of Entry</v>
      </c>
      <c r="AC113" s="1397"/>
      <c r="AD113" s="1397"/>
      <c r="AE113" s="1397"/>
      <c r="AF113" s="1397"/>
      <c r="AG113" s="1397"/>
      <c r="AH113" s="1397"/>
      <c r="AI113" s="1397"/>
      <c r="AJ113" s="1397"/>
      <c r="AK113" s="1397"/>
      <c r="AL113" s="1397"/>
      <c r="AM113" s="1397"/>
      <c r="AN113" s="1397"/>
      <c r="AO113" s="1397"/>
      <c r="AP113" s="1397"/>
      <c r="AQ113" s="1412"/>
      <c r="AR113" s="535"/>
    </row>
    <row r="114" spans="1:70" s="536" customFormat="1" ht="15" customHeight="1">
      <c r="A114" s="1498"/>
      <c r="B114" s="1398"/>
      <c r="C114" s="1398"/>
      <c r="D114" s="1398"/>
      <c r="E114" s="1398"/>
      <c r="F114" s="1398"/>
      <c r="G114" s="1398"/>
      <c r="H114" s="1398"/>
      <c r="I114" s="1398"/>
      <c r="J114" s="1398"/>
      <c r="K114" s="1398"/>
      <c r="L114" s="1398"/>
      <c r="M114" s="1398"/>
      <c r="N114" s="1398"/>
      <c r="O114" s="1398"/>
      <c r="P114" s="1398"/>
      <c r="Q114" s="1398"/>
      <c r="R114" s="1398"/>
      <c r="S114" s="1398"/>
      <c r="T114" s="1398"/>
      <c r="U114" s="1398"/>
      <c r="V114" s="1398"/>
      <c r="W114" s="1398"/>
      <c r="X114" s="1398"/>
      <c r="Y114" s="1398"/>
      <c r="Z114" s="1398"/>
      <c r="AA114" s="1398"/>
      <c r="AB114" s="1398"/>
      <c r="AC114" s="1398"/>
      <c r="AD114" s="1398"/>
      <c r="AE114" s="1398"/>
      <c r="AF114" s="1398"/>
      <c r="AG114" s="1398"/>
      <c r="AH114" s="1398"/>
      <c r="AI114" s="1398"/>
      <c r="AJ114" s="1398"/>
      <c r="AK114" s="1398"/>
      <c r="AL114" s="1398"/>
      <c r="AM114" s="1398"/>
      <c r="AN114" s="1398"/>
      <c r="AO114" s="1398"/>
      <c r="AP114" s="1398"/>
      <c r="AQ114" s="1413"/>
      <c r="AR114" s="569"/>
    </row>
    <row r="115" spans="1:70" ht="30" customHeight="1">
      <c r="A115" s="555">
        <v>1</v>
      </c>
      <c r="B115" s="1605" t="str">
        <f>IF(Information!P17="","無し",Information!$P$17)</f>
        <v>無し</v>
      </c>
      <c r="C115" s="1605"/>
      <c r="D115" s="1605"/>
      <c r="E115" s="1605"/>
      <c r="F115" s="1605"/>
      <c r="G115" s="1605"/>
      <c r="H115" s="1605"/>
      <c r="I115" s="1605" t="str">
        <f>IF(ISBLANK(Information!P18)," ",Information!P18)</f>
        <v xml:space="preserve"> </v>
      </c>
      <c r="J115" s="1605"/>
      <c r="K115" s="1605"/>
      <c r="L115" s="1605"/>
      <c r="M115" s="1605"/>
      <c r="N115" s="1605"/>
      <c r="O115" s="1605"/>
      <c r="P115" s="1606" t="str">
        <f>IF(Information!AB17="","",VLOOKUP(Information!AB17,VISATRANSLATION,2,0))</f>
        <v/>
      </c>
      <c r="Q115" s="1606"/>
      <c r="R115" s="1606"/>
      <c r="S115" s="1606"/>
      <c r="T115" s="1606"/>
      <c r="U115" s="1606"/>
      <c r="V115" s="1606"/>
      <c r="W115" s="1606"/>
      <c r="X115" s="1606"/>
      <c r="Y115" s="1606"/>
      <c r="Z115" s="1606"/>
      <c r="AA115" s="1606"/>
      <c r="AB115" s="1606" t="str">
        <f>IF(Information!AB18="","",VLOOKUP(Information!AB18,REASONTRANSLATION,2,0))</f>
        <v/>
      </c>
      <c r="AC115" s="1606"/>
      <c r="AD115" s="1606"/>
      <c r="AE115" s="1606"/>
      <c r="AF115" s="1606"/>
      <c r="AG115" s="1606"/>
      <c r="AH115" s="1606"/>
      <c r="AI115" s="1606"/>
      <c r="AJ115" s="1606"/>
      <c r="AK115" s="1606"/>
      <c r="AL115" s="1606"/>
      <c r="AM115" s="1606"/>
      <c r="AN115" s="1606"/>
      <c r="AO115" s="1606"/>
      <c r="AP115" s="1606"/>
      <c r="AQ115" s="1607"/>
      <c r="AR115" s="535"/>
    </row>
    <row r="116" spans="1:70" ht="30" customHeight="1">
      <c r="A116" s="556">
        <v>2</v>
      </c>
      <c r="B116" s="1599" t="str">
        <f>IF(ISBLANK(Information!P19)," ",Information!P19)</f>
        <v xml:space="preserve"> </v>
      </c>
      <c r="C116" s="1599"/>
      <c r="D116" s="1599"/>
      <c r="E116" s="1599"/>
      <c r="F116" s="1599"/>
      <c r="G116" s="1599"/>
      <c r="H116" s="1599"/>
      <c r="I116" s="1599" t="str">
        <f>IF(ISBLANK(Information!P20)," ",Information!P20)</f>
        <v xml:space="preserve"> </v>
      </c>
      <c r="J116" s="1599"/>
      <c r="K116" s="1599"/>
      <c r="L116" s="1599"/>
      <c r="M116" s="1599"/>
      <c r="N116" s="1599"/>
      <c r="O116" s="1599"/>
      <c r="P116" s="1600" t="str">
        <f>IF(Information!AB19="","",VLOOKUP(Information!AB19,VISATRANSLATION,2,0))</f>
        <v/>
      </c>
      <c r="Q116" s="1600"/>
      <c r="R116" s="1600"/>
      <c r="S116" s="1600"/>
      <c r="T116" s="1600"/>
      <c r="U116" s="1600"/>
      <c r="V116" s="1600"/>
      <c r="W116" s="1600"/>
      <c r="X116" s="1600"/>
      <c r="Y116" s="1600"/>
      <c r="Z116" s="1600"/>
      <c r="AA116" s="1600"/>
      <c r="AB116" s="1600" t="str">
        <f>IF(Information!AB20="","",VLOOKUP(Information!AB20,REASONTRANSLATION,2,0))</f>
        <v/>
      </c>
      <c r="AC116" s="1600"/>
      <c r="AD116" s="1600"/>
      <c r="AE116" s="1600"/>
      <c r="AF116" s="1600"/>
      <c r="AG116" s="1600"/>
      <c r="AH116" s="1600"/>
      <c r="AI116" s="1600"/>
      <c r="AJ116" s="1600"/>
      <c r="AK116" s="1600"/>
      <c r="AL116" s="1600"/>
      <c r="AM116" s="1600"/>
      <c r="AN116" s="1600"/>
      <c r="AO116" s="1600"/>
      <c r="AP116" s="1600"/>
      <c r="AQ116" s="1601"/>
      <c r="BR116" s="572"/>
    </row>
    <row r="117" spans="1:70" ht="30" customHeight="1">
      <c r="A117" s="556">
        <v>3</v>
      </c>
      <c r="B117" s="1599" t="str">
        <f>IF(ISBLANK(Information!P21)," ",Information!P21)</f>
        <v xml:space="preserve"> </v>
      </c>
      <c r="C117" s="1599"/>
      <c r="D117" s="1599"/>
      <c r="E117" s="1599"/>
      <c r="F117" s="1599"/>
      <c r="G117" s="1599"/>
      <c r="H117" s="1599"/>
      <c r="I117" s="1599" t="str">
        <f>IF(ISBLANK(Information!P22)," ",Information!P22)</f>
        <v xml:space="preserve"> </v>
      </c>
      <c r="J117" s="1599"/>
      <c r="K117" s="1599"/>
      <c r="L117" s="1599"/>
      <c r="M117" s="1599"/>
      <c r="N117" s="1599"/>
      <c r="O117" s="1599"/>
      <c r="P117" s="1600" t="str">
        <f>IF(Information!AB21="","",VLOOKUP(Information!AB21,VISATRANSLATION,2,0))</f>
        <v/>
      </c>
      <c r="Q117" s="1600"/>
      <c r="R117" s="1600"/>
      <c r="S117" s="1600"/>
      <c r="T117" s="1600"/>
      <c r="U117" s="1600"/>
      <c r="V117" s="1600"/>
      <c r="W117" s="1600"/>
      <c r="X117" s="1600"/>
      <c r="Y117" s="1600"/>
      <c r="Z117" s="1600"/>
      <c r="AA117" s="1600"/>
      <c r="AB117" s="1600" t="str">
        <f>IF(Information!AB22="","",VLOOKUP(Information!AB22,REASONTRANSLATION,2,0))</f>
        <v/>
      </c>
      <c r="AC117" s="1600"/>
      <c r="AD117" s="1600"/>
      <c r="AE117" s="1600"/>
      <c r="AF117" s="1600"/>
      <c r="AG117" s="1600"/>
      <c r="AH117" s="1600"/>
      <c r="AI117" s="1600"/>
      <c r="AJ117" s="1600"/>
      <c r="AK117" s="1600"/>
      <c r="AL117" s="1600"/>
      <c r="AM117" s="1600"/>
      <c r="AN117" s="1600"/>
      <c r="AO117" s="1600"/>
      <c r="AP117" s="1600"/>
      <c r="AQ117" s="1601"/>
    </row>
    <row r="118" spans="1:70" ht="30" customHeight="1">
      <c r="A118" s="556">
        <v>4</v>
      </c>
      <c r="B118" s="1599"/>
      <c r="C118" s="1599"/>
      <c r="D118" s="1599"/>
      <c r="E118" s="1599"/>
      <c r="F118" s="1599"/>
      <c r="G118" s="1599"/>
      <c r="H118" s="1599"/>
      <c r="I118" s="1599"/>
      <c r="J118" s="1599"/>
      <c r="K118" s="1599"/>
      <c r="L118" s="1599"/>
      <c r="M118" s="1599"/>
      <c r="N118" s="1599"/>
      <c r="O118" s="1599"/>
      <c r="P118" s="1600"/>
      <c r="Q118" s="1600"/>
      <c r="R118" s="1600"/>
      <c r="S118" s="1600"/>
      <c r="T118" s="1600"/>
      <c r="U118" s="1600"/>
      <c r="V118" s="1600"/>
      <c r="W118" s="1600"/>
      <c r="X118" s="1600"/>
      <c r="Y118" s="1600"/>
      <c r="Z118" s="1600"/>
      <c r="AA118" s="1600"/>
      <c r="AB118" s="1600"/>
      <c r="AC118" s="1600"/>
      <c r="AD118" s="1600"/>
      <c r="AE118" s="1600"/>
      <c r="AF118" s="1600"/>
      <c r="AG118" s="1600"/>
      <c r="AH118" s="1600"/>
      <c r="AI118" s="1600"/>
      <c r="AJ118" s="1600"/>
      <c r="AK118" s="1600"/>
      <c r="AL118" s="1600"/>
      <c r="AM118" s="1600"/>
      <c r="AN118" s="1600"/>
      <c r="AO118" s="1600"/>
      <c r="AP118" s="1600"/>
      <c r="AQ118" s="1601"/>
    </row>
    <row r="119" spans="1:70" ht="30" customHeight="1">
      <c r="A119" s="557">
        <v>5</v>
      </c>
      <c r="B119" s="1602"/>
      <c r="C119" s="1602"/>
      <c r="D119" s="1602"/>
      <c r="E119" s="1602"/>
      <c r="F119" s="1602"/>
      <c r="G119" s="1602"/>
      <c r="H119" s="1602"/>
      <c r="I119" s="1602"/>
      <c r="J119" s="1602"/>
      <c r="K119" s="1602"/>
      <c r="L119" s="1602"/>
      <c r="M119" s="1602"/>
      <c r="N119" s="1602"/>
      <c r="O119" s="1602"/>
      <c r="P119" s="1603"/>
      <c r="Q119" s="1603"/>
      <c r="R119" s="1603"/>
      <c r="S119" s="1603"/>
      <c r="T119" s="1603"/>
      <c r="U119" s="1603"/>
      <c r="V119" s="1603"/>
      <c r="W119" s="1603"/>
      <c r="X119" s="1603"/>
      <c r="Y119" s="1603"/>
      <c r="Z119" s="1603"/>
      <c r="AA119" s="1603"/>
      <c r="AB119" s="1603"/>
      <c r="AC119" s="1603"/>
      <c r="AD119" s="1603"/>
      <c r="AE119" s="1603"/>
      <c r="AF119" s="1603"/>
      <c r="AG119" s="1603"/>
      <c r="AH119" s="1603"/>
      <c r="AI119" s="1603"/>
      <c r="AJ119" s="1603"/>
      <c r="AK119" s="1603"/>
      <c r="AL119" s="1603"/>
      <c r="AM119" s="1603"/>
      <c r="AN119" s="1603"/>
      <c r="AO119" s="1603"/>
      <c r="AP119" s="1603"/>
      <c r="AQ119" s="1604"/>
    </row>
    <row r="120" spans="1:70" ht="22.5" customHeight="1">
      <c r="A120" s="541"/>
      <c r="B120" s="1266" t="str">
        <f>SCHOOLNAME</f>
        <v>進和外語アカデミー</v>
      </c>
      <c r="C120" s="1266"/>
      <c r="D120" s="1266"/>
      <c r="E120" s="1266"/>
      <c r="F120" s="1266"/>
      <c r="G120" s="1266"/>
      <c r="H120" s="1266"/>
      <c r="I120" s="1266"/>
      <c r="J120" s="1266"/>
      <c r="K120" s="1266"/>
      <c r="L120" s="1266"/>
      <c r="M120" s="1266"/>
      <c r="N120" s="1266"/>
      <c r="O120" s="1266"/>
      <c r="P120" s="538"/>
      <c r="Q120" s="538"/>
      <c r="R120" s="538"/>
      <c r="S120" s="538"/>
      <c r="T120" s="538"/>
      <c r="U120" s="538"/>
      <c r="V120" s="541"/>
      <c r="W120" s="541"/>
      <c r="X120" s="541"/>
      <c r="Y120" s="541"/>
      <c r="Z120" s="541"/>
      <c r="AA120" s="541"/>
      <c r="AB120" s="541"/>
      <c r="AC120" s="541"/>
      <c r="AD120" s="541"/>
      <c r="AE120" s="541"/>
      <c r="AF120" s="541"/>
      <c r="AG120" s="541"/>
      <c r="AH120" s="541"/>
      <c r="AI120" s="541"/>
      <c r="AJ120" s="541"/>
      <c r="AK120" s="541"/>
      <c r="AL120" s="541"/>
      <c r="AM120" s="541"/>
      <c r="AN120" s="541"/>
      <c r="AO120" s="541"/>
      <c r="AP120" s="541"/>
      <c r="AQ120" s="541"/>
    </row>
    <row r="121" spans="1:70" ht="15" customHeight="1">
      <c r="A121" s="537"/>
      <c r="B121" s="821" t="str">
        <f>SCHOOLNAMEEN</f>
        <v>Shinwa Foreign Language Academy</v>
      </c>
      <c r="C121" s="821"/>
      <c r="D121" s="821"/>
      <c r="E121" s="821"/>
      <c r="F121" s="821"/>
      <c r="G121" s="821"/>
      <c r="H121" s="821"/>
      <c r="I121" s="821"/>
      <c r="J121" s="821"/>
      <c r="K121" s="821"/>
      <c r="L121" s="821"/>
      <c r="M121" s="821"/>
      <c r="N121" s="821"/>
      <c r="O121" s="821"/>
      <c r="P121" s="538"/>
      <c r="Q121" s="538"/>
      <c r="R121" s="538"/>
      <c r="S121" s="538"/>
      <c r="T121" s="538"/>
      <c r="U121" s="538"/>
      <c r="V121" s="541"/>
      <c r="W121" s="541"/>
      <c r="X121" s="541"/>
      <c r="Y121" s="541"/>
      <c r="Z121" s="541"/>
      <c r="AA121" s="541"/>
      <c r="AB121" s="541"/>
      <c r="AC121" s="563"/>
      <c r="AD121" s="541"/>
      <c r="AE121" s="537"/>
      <c r="AF121" s="563"/>
      <c r="AG121" s="541"/>
      <c r="AH121" s="541"/>
      <c r="AI121" s="541"/>
      <c r="AJ121" s="541"/>
      <c r="AK121" s="541"/>
      <c r="AL121" s="541"/>
      <c r="AM121" s="541"/>
      <c r="AN121" s="541"/>
      <c r="AO121" s="541"/>
      <c r="AP121" s="541"/>
      <c r="AQ121" s="541"/>
    </row>
    <row r="122" spans="1:70" ht="15" customHeight="1">
      <c r="A122" s="537"/>
      <c r="B122" s="823" t="str">
        <f>SCHOOLADDRESS</f>
        <v>〒169-0075 東京都新宿区高田馬場 2-14-30</v>
      </c>
      <c r="C122" s="823"/>
      <c r="D122" s="823"/>
      <c r="E122" s="823"/>
      <c r="F122" s="823"/>
      <c r="G122" s="823"/>
      <c r="H122" s="823"/>
      <c r="I122" s="823"/>
      <c r="J122" s="823"/>
      <c r="K122" s="823"/>
      <c r="L122" s="823"/>
      <c r="M122" s="823"/>
      <c r="N122" s="823"/>
      <c r="O122" s="823"/>
      <c r="P122" s="541"/>
      <c r="Q122" s="541"/>
      <c r="R122" s="541"/>
      <c r="S122" s="541"/>
      <c r="T122" s="541"/>
      <c r="U122" s="541"/>
      <c r="V122" s="541"/>
      <c r="W122" s="541"/>
      <c r="X122" s="537"/>
      <c r="Y122" s="541"/>
      <c r="Z122" s="541"/>
      <c r="AA122" s="537"/>
      <c r="AB122" s="541"/>
      <c r="AC122" s="554"/>
      <c r="AD122" s="541"/>
      <c r="AE122" s="537"/>
      <c r="AF122" s="562"/>
      <c r="AG122" s="541"/>
      <c r="AH122" s="541"/>
      <c r="AI122" s="541"/>
      <c r="AJ122" s="541"/>
      <c r="AK122" s="541"/>
      <c r="AL122" s="541"/>
      <c r="AM122" s="541"/>
      <c r="AN122" s="541"/>
      <c r="AO122" s="541"/>
      <c r="AP122" s="541"/>
      <c r="AQ122" s="541"/>
    </row>
    <row r="123" spans="1:70" ht="15" customHeight="1">
      <c r="A123" s="540"/>
      <c r="B123" s="824" t="str">
        <f>SCHOOLPHONE</f>
        <v>TEL: 03-6233-8175　　　FAX: 03-6233-8176</v>
      </c>
      <c r="C123" s="824"/>
      <c r="D123" s="824"/>
      <c r="E123" s="824"/>
      <c r="F123" s="824"/>
      <c r="G123" s="824"/>
      <c r="H123" s="824"/>
      <c r="I123" s="824"/>
      <c r="J123" s="824"/>
      <c r="K123" s="824"/>
      <c r="L123" s="824"/>
      <c r="M123" s="824"/>
      <c r="N123" s="824"/>
      <c r="O123" s="824"/>
      <c r="P123" s="540"/>
      <c r="Q123" s="540"/>
      <c r="R123" s="540"/>
      <c r="S123" s="540"/>
      <c r="T123" s="540"/>
      <c r="U123" s="540"/>
      <c r="V123" s="541"/>
      <c r="W123" s="541"/>
      <c r="X123" s="537"/>
      <c r="Y123" s="541"/>
      <c r="Z123" s="541"/>
      <c r="AA123" s="537"/>
      <c r="AB123" s="540"/>
      <c r="AC123" s="541"/>
      <c r="AD123" s="541"/>
      <c r="AE123" s="541"/>
      <c r="AF123" s="541"/>
      <c r="AG123" s="541"/>
      <c r="AH123" s="541"/>
      <c r="AI123" s="541"/>
      <c r="AJ123" s="541"/>
      <c r="AK123" s="541"/>
      <c r="AL123" s="541"/>
      <c r="AM123" s="541"/>
      <c r="AN123" s="541"/>
      <c r="AO123" s="541"/>
      <c r="AP123" s="541"/>
      <c r="AQ123" s="541"/>
    </row>
    <row r="124" spans="1:70" ht="15" customHeight="1">
      <c r="A124" s="1598" t="s">
        <v>87</v>
      </c>
      <c r="B124" s="1598"/>
      <c r="C124" s="1598"/>
      <c r="D124" s="1598" t="str">
        <f>IF(APNATION="","",VLOOKUP(APNATION,FORMINFO,77,0))</f>
        <v>Reason for enrolment</v>
      </c>
      <c r="E124" s="1598"/>
      <c r="F124" s="1598"/>
      <c r="G124" s="1598"/>
      <c r="H124" s="1598"/>
      <c r="I124" s="1598"/>
      <c r="J124" s="1598"/>
      <c r="K124" s="1598"/>
      <c r="L124" s="1598"/>
      <c r="M124" s="1598"/>
      <c r="N124" s="1598"/>
      <c r="O124" s="1598"/>
      <c r="P124" s="1598"/>
      <c r="Q124" s="1598"/>
      <c r="R124" s="1598"/>
      <c r="S124" s="1598"/>
      <c r="T124" s="1598"/>
      <c r="U124" s="1598"/>
      <c r="V124" s="1598"/>
      <c r="W124" s="1598"/>
      <c r="X124" s="1598"/>
      <c r="Y124" s="1598"/>
      <c r="Z124" s="1598"/>
      <c r="AA124" s="1598"/>
      <c r="AB124" s="1598"/>
      <c r="AC124" s="1598"/>
      <c r="AD124" s="1598"/>
      <c r="AE124" s="1598"/>
      <c r="AF124" s="1598"/>
      <c r="AG124" s="1598"/>
      <c r="AH124" s="1598"/>
      <c r="AI124" s="1598"/>
      <c r="AJ124" s="1598"/>
      <c r="AK124" s="1598"/>
      <c r="AL124" s="1598"/>
      <c r="AM124" s="1598"/>
      <c r="AN124" s="1598"/>
      <c r="AO124" s="1598"/>
      <c r="AP124" s="1598"/>
      <c r="AQ124" s="1598"/>
    </row>
    <row r="125" spans="1:70" ht="18.75" customHeight="1">
      <c r="A125" s="1455" t="str">
        <f>IF(Information!A95="","別紙参照",Information!A95)</f>
        <v>別紙参照</v>
      </c>
      <c r="B125" s="1456"/>
      <c r="C125" s="1456"/>
      <c r="D125" s="1456"/>
      <c r="E125" s="1456"/>
      <c r="F125" s="1456"/>
      <c r="G125" s="1456"/>
      <c r="H125" s="1456"/>
      <c r="I125" s="1456"/>
      <c r="J125" s="1456"/>
      <c r="K125" s="1456"/>
      <c r="L125" s="1456"/>
      <c r="M125" s="1456"/>
      <c r="N125" s="1456"/>
      <c r="O125" s="1456"/>
      <c r="P125" s="1456"/>
      <c r="Q125" s="1456"/>
      <c r="R125" s="1456"/>
      <c r="S125" s="1456"/>
      <c r="T125" s="1456"/>
      <c r="U125" s="1456"/>
      <c r="V125" s="1456"/>
      <c r="W125" s="1456"/>
      <c r="X125" s="1456"/>
      <c r="Y125" s="1456"/>
      <c r="Z125" s="1456"/>
      <c r="AA125" s="1456"/>
      <c r="AB125" s="1456"/>
      <c r="AC125" s="1456"/>
      <c r="AD125" s="1456"/>
      <c r="AE125" s="1456"/>
      <c r="AF125" s="1456"/>
      <c r="AG125" s="1456"/>
      <c r="AH125" s="1456"/>
      <c r="AI125" s="1456"/>
      <c r="AJ125" s="1456"/>
      <c r="AK125" s="1456"/>
      <c r="AL125" s="1456"/>
      <c r="AM125" s="1456"/>
      <c r="AN125" s="1456"/>
      <c r="AO125" s="1456"/>
      <c r="AP125" s="1456"/>
      <c r="AQ125" s="1457"/>
    </row>
    <row r="126" spans="1:70" ht="18.75" customHeight="1">
      <c r="A126" s="1458"/>
      <c r="B126" s="1459"/>
      <c r="C126" s="1459"/>
      <c r="D126" s="1459"/>
      <c r="E126" s="1459"/>
      <c r="F126" s="1459"/>
      <c r="G126" s="1459"/>
      <c r="H126" s="1459"/>
      <c r="I126" s="1459"/>
      <c r="J126" s="1459"/>
      <c r="K126" s="1459"/>
      <c r="L126" s="1459"/>
      <c r="M126" s="1459"/>
      <c r="N126" s="1459"/>
      <c r="O126" s="1459"/>
      <c r="P126" s="1459"/>
      <c r="Q126" s="1459"/>
      <c r="R126" s="1459"/>
      <c r="S126" s="1459"/>
      <c r="T126" s="1459"/>
      <c r="U126" s="1459"/>
      <c r="V126" s="1459"/>
      <c r="W126" s="1459"/>
      <c r="X126" s="1459"/>
      <c r="Y126" s="1459"/>
      <c r="Z126" s="1459"/>
      <c r="AA126" s="1459"/>
      <c r="AB126" s="1459"/>
      <c r="AC126" s="1459"/>
      <c r="AD126" s="1459"/>
      <c r="AE126" s="1459"/>
      <c r="AF126" s="1459"/>
      <c r="AG126" s="1459"/>
      <c r="AH126" s="1459"/>
      <c r="AI126" s="1459"/>
      <c r="AJ126" s="1459"/>
      <c r="AK126" s="1459"/>
      <c r="AL126" s="1459"/>
      <c r="AM126" s="1459"/>
      <c r="AN126" s="1459"/>
      <c r="AO126" s="1459"/>
      <c r="AP126" s="1459"/>
      <c r="AQ126" s="1460"/>
    </row>
    <row r="127" spans="1:70" ht="18.75" customHeight="1">
      <c r="A127" s="1458"/>
      <c r="B127" s="1459"/>
      <c r="C127" s="1459"/>
      <c r="D127" s="1459"/>
      <c r="E127" s="1459"/>
      <c r="F127" s="1459"/>
      <c r="G127" s="1459"/>
      <c r="H127" s="1459"/>
      <c r="I127" s="1459"/>
      <c r="J127" s="1459"/>
      <c r="K127" s="1459"/>
      <c r="L127" s="1459"/>
      <c r="M127" s="1459"/>
      <c r="N127" s="1459"/>
      <c r="O127" s="1459"/>
      <c r="P127" s="1459"/>
      <c r="Q127" s="1459"/>
      <c r="R127" s="1459"/>
      <c r="S127" s="1459"/>
      <c r="T127" s="1459"/>
      <c r="U127" s="1459"/>
      <c r="V127" s="1459"/>
      <c r="W127" s="1459"/>
      <c r="X127" s="1459"/>
      <c r="Y127" s="1459"/>
      <c r="Z127" s="1459"/>
      <c r="AA127" s="1459"/>
      <c r="AB127" s="1459"/>
      <c r="AC127" s="1459"/>
      <c r="AD127" s="1459"/>
      <c r="AE127" s="1459"/>
      <c r="AF127" s="1459"/>
      <c r="AG127" s="1459"/>
      <c r="AH127" s="1459"/>
      <c r="AI127" s="1459"/>
      <c r="AJ127" s="1459"/>
      <c r="AK127" s="1459"/>
      <c r="AL127" s="1459"/>
      <c r="AM127" s="1459"/>
      <c r="AN127" s="1459"/>
      <c r="AO127" s="1459"/>
      <c r="AP127" s="1459"/>
      <c r="AQ127" s="1460"/>
    </row>
    <row r="128" spans="1:70" ht="18.75" customHeight="1">
      <c r="A128" s="1458"/>
      <c r="B128" s="1459"/>
      <c r="C128" s="1459"/>
      <c r="D128" s="1459"/>
      <c r="E128" s="1459"/>
      <c r="F128" s="1459"/>
      <c r="G128" s="1459"/>
      <c r="H128" s="1459"/>
      <c r="I128" s="1459"/>
      <c r="J128" s="1459"/>
      <c r="K128" s="1459"/>
      <c r="L128" s="1459"/>
      <c r="M128" s="1459"/>
      <c r="N128" s="1459"/>
      <c r="O128" s="1459"/>
      <c r="P128" s="1459"/>
      <c r="Q128" s="1459"/>
      <c r="R128" s="1459"/>
      <c r="S128" s="1459"/>
      <c r="T128" s="1459"/>
      <c r="U128" s="1459"/>
      <c r="V128" s="1459"/>
      <c r="W128" s="1459"/>
      <c r="X128" s="1459"/>
      <c r="Y128" s="1459"/>
      <c r="Z128" s="1459"/>
      <c r="AA128" s="1459"/>
      <c r="AB128" s="1459"/>
      <c r="AC128" s="1459"/>
      <c r="AD128" s="1459"/>
      <c r="AE128" s="1459"/>
      <c r="AF128" s="1459"/>
      <c r="AG128" s="1459"/>
      <c r="AH128" s="1459"/>
      <c r="AI128" s="1459"/>
      <c r="AJ128" s="1459"/>
      <c r="AK128" s="1459"/>
      <c r="AL128" s="1459"/>
      <c r="AM128" s="1459"/>
      <c r="AN128" s="1459"/>
      <c r="AO128" s="1459"/>
      <c r="AP128" s="1459"/>
      <c r="AQ128" s="1460"/>
      <c r="AR128" s="571"/>
    </row>
    <row r="129" spans="1:44" ht="18.75" customHeight="1">
      <c r="A129" s="1458"/>
      <c r="B129" s="1459"/>
      <c r="C129" s="1459"/>
      <c r="D129" s="1459"/>
      <c r="E129" s="1459"/>
      <c r="F129" s="1459"/>
      <c r="G129" s="1459"/>
      <c r="H129" s="1459"/>
      <c r="I129" s="1459"/>
      <c r="J129" s="1459"/>
      <c r="K129" s="1459"/>
      <c r="L129" s="1459"/>
      <c r="M129" s="1459"/>
      <c r="N129" s="1459"/>
      <c r="O129" s="1459"/>
      <c r="P129" s="1459"/>
      <c r="Q129" s="1459"/>
      <c r="R129" s="1459"/>
      <c r="S129" s="1459"/>
      <c r="T129" s="1459"/>
      <c r="U129" s="1459"/>
      <c r="V129" s="1459"/>
      <c r="W129" s="1459"/>
      <c r="X129" s="1459"/>
      <c r="Y129" s="1459"/>
      <c r="Z129" s="1459"/>
      <c r="AA129" s="1459"/>
      <c r="AB129" s="1459"/>
      <c r="AC129" s="1459"/>
      <c r="AD129" s="1459"/>
      <c r="AE129" s="1459"/>
      <c r="AF129" s="1459"/>
      <c r="AG129" s="1459"/>
      <c r="AH129" s="1459"/>
      <c r="AI129" s="1459"/>
      <c r="AJ129" s="1459"/>
      <c r="AK129" s="1459"/>
      <c r="AL129" s="1459"/>
      <c r="AM129" s="1459"/>
      <c r="AN129" s="1459"/>
      <c r="AO129" s="1459"/>
      <c r="AP129" s="1459"/>
      <c r="AQ129" s="1460"/>
      <c r="AR129" s="571"/>
    </row>
    <row r="130" spans="1:44" ht="18.75" customHeight="1">
      <c r="A130" s="1458"/>
      <c r="B130" s="1459"/>
      <c r="C130" s="1459"/>
      <c r="D130" s="1459"/>
      <c r="E130" s="1459"/>
      <c r="F130" s="1459"/>
      <c r="G130" s="1459"/>
      <c r="H130" s="1459"/>
      <c r="I130" s="1459"/>
      <c r="J130" s="1459"/>
      <c r="K130" s="1459"/>
      <c r="L130" s="1459"/>
      <c r="M130" s="1459"/>
      <c r="N130" s="1459"/>
      <c r="O130" s="1459"/>
      <c r="P130" s="1459"/>
      <c r="Q130" s="1459"/>
      <c r="R130" s="1459"/>
      <c r="S130" s="1459"/>
      <c r="T130" s="1459"/>
      <c r="U130" s="1459"/>
      <c r="V130" s="1459"/>
      <c r="W130" s="1459"/>
      <c r="X130" s="1459"/>
      <c r="Y130" s="1459"/>
      <c r="Z130" s="1459"/>
      <c r="AA130" s="1459"/>
      <c r="AB130" s="1459"/>
      <c r="AC130" s="1459"/>
      <c r="AD130" s="1459"/>
      <c r="AE130" s="1459"/>
      <c r="AF130" s="1459"/>
      <c r="AG130" s="1459"/>
      <c r="AH130" s="1459"/>
      <c r="AI130" s="1459"/>
      <c r="AJ130" s="1459"/>
      <c r="AK130" s="1459"/>
      <c r="AL130" s="1459"/>
      <c r="AM130" s="1459"/>
      <c r="AN130" s="1459"/>
      <c r="AO130" s="1459"/>
      <c r="AP130" s="1459"/>
      <c r="AQ130" s="1460"/>
      <c r="AR130" s="571"/>
    </row>
    <row r="131" spans="1:44" ht="18.75" customHeight="1">
      <c r="A131" s="1458"/>
      <c r="B131" s="1459"/>
      <c r="C131" s="1459"/>
      <c r="D131" s="1459"/>
      <c r="E131" s="1459"/>
      <c r="F131" s="1459"/>
      <c r="G131" s="1459"/>
      <c r="H131" s="1459"/>
      <c r="I131" s="1459"/>
      <c r="J131" s="1459"/>
      <c r="K131" s="1459"/>
      <c r="L131" s="1459"/>
      <c r="M131" s="1459"/>
      <c r="N131" s="1459"/>
      <c r="O131" s="1459"/>
      <c r="P131" s="1459"/>
      <c r="Q131" s="1459"/>
      <c r="R131" s="1459"/>
      <c r="S131" s="1459"/>
      <c r="T131" s="1459"/>
      <c r="U131" s="1459"/>
      <c r="V131" s="1459"/>
      <c r="W131" s="1459"/>
      <c r="X131" s="1459"/>
      <c r="Y131" s="1459"/>
      <c r="Z131" s="1459"/>
      <c r="AA131" s="1459"/>
      <c r="AB131" s="1459"/>
      <c r="AC131" s="1459"/>
      <c r="AD131" s="1459"/>
      <c r="AE131" s="1459"/>
      <c r="AF131" s="1459"/>
      <c r="AG131" s="1459"/>
      <c r="AH131" s="1459"/>
      <c r="AI131" s="1459"/>
      <c r="AJ131" s="1459"/>
      <c r="AK131" s="1459"/>
      <c r="AL131" s="1459"/>
      <c r="AM131" s="1459"/>
      <c r="AN131" s="1459"/>
      <c r="AO131" s="1459"/>
      <c r="AP131" s="1459"/>
      <c r="AQ131" s="1460"/>
      <c r="AR131" s="571"/>
    </row>
    <row r="132" spans="1:44" ht="18.75" customHeight="1">
      <c r="A132" s="1458"/>
      <c r="B132" s="1459"/>
      <c r="C132" s="1459"/>
      <c r="D132" s="1459"/>
      <c r="E132" s="1459"/>
      <c r="F132" s="1459"/>
      <c r="G132" s="1459"/>
      <c r="H132" s="1459"/>
      <c r="I132" s="1459"/>
      <c r="J132" s="1459"/>
      <c r="K132" s="1459"/>
      <c r="L132" s="1459"/>
      <c r="M132" s="1459"/>
      <c r="N132" s="1459"/>
      <c r="O132" s="1459"/>
      <c r="P132" s="1459"/>
      <c r="Q132" s="1459"/>
      <c r="R132" s="1459"/>
      <c r="S132" s="1459"/>
      <c r="T132" s="1459"/>
      <c r="U132" s="1459"/>
      <c r="V132" s="1459"/>
      <c r="W132" s="1459"/>
      <c r="X132" s="1459"/>
      <c r="Y132" s="1459"/>
      <c r="Z132" s="1459"/>
      <c r="AA132" s="1459"/>
      <c r="AB132" s="1459"/>
      <c r="AC132" s="1459"/>
      <c r="AD132" s="1459"/>
      <c r="AE132" s="1459"/>
      <c r="AF132" s="1459"/>
      <c r="AG132" s="1459"/>
      <c r="AH132" s="1459"/>
      <c r="AI132" s="1459"/>
      <c r="AJ132" s="1459"/>
      <c r="AK132" s="1459"/>
      <c r="AL132" s="1459"/>
      <c r="AM132" s="1459"/>
      <c r="AN132" s="1459"/>
      <c r="AO132" s="1459"/>
      <c r="AP132" s="1459"/>
      <c r="AQ132" s="1460"/>
      <c r="AR132" s="571"/>
    </row>
    <row r="133" spans="1:44" ht="18.75" customHeight="1">
      <c r="A133" s="1461"/>
      <c r="B133" s="1462"/>
      <c r="C133" s="1462"/>
      <c r="D133" s="1462"/>
      <c r="E133" s="1462"/>
      <c r="F133" s="1462"/>
      <c r="G133" s="1462"/>
      <c r="H133" s="1462"/>
      <c r="I133" s="1462"/>
      <c r="J133" s="1462"/>
      <c r="K133" s="1462"/>
      <c r="L133" s="1462"/>
      <c r="M133" s="1462"/>
      <c r="N133" s="1462"/>
      <c r="O133" s="1462"/>
      <c r="P133" s="1462"/>
      <c r="Q133" s="1462"/>
      <c r="R133" s="1462"/>
      <c r="S133" s="1462"/>
      <c r="T133" s="1462"/>
      <c r="U133" s="1462"/>
      <c r="V133" s="1462"/>
      <c r="W133" s="1462"/>
      <c r="X133" s="1462"/>
      <c r="Y133" s="1462"/>
      <c r="Z133" s="1462"/>
      <c r="AA133" s="1462"/>
      <c r="AB133" s="1462"/>
      <c r="AC133" s="1462"/>
      <c r="AD133" s="1462"/>
      <c r="AE133" s="1462"/>
      <c r="AF133" s="1462"/>
      <c r="AG133" s="1462"/>
      <c r="AH133" s="1462"/>
      <c r="AI133" s="1462"/>
      <c r="AJ133" s="1462"/>
      <c r="AK133" s="1462"/>
      <c r="AL133" s="1462"/>
      <c r="AM133" s="1462"/>
      <c r="AN133" s="1462"/>
      <c r="AO133" s="1462"/>
      <c r="AP133" s="1462"/>
      <c r="AQ133" s="1463"/>
      <c r="AR133" s="535"/>
    </row>
    <row r="134" spans="1:44" ht="22.5" customHeight="1">
      <c r="A134" s="1585" t="s">
        <v>88</v>
      </c>
      <c r="B134" s="1585"/>
      <c r="C134" s="1585"/>
      <c r="D134" s="1585"/>
      <c r="E134" s="1585"/>
      <c r="F134" s="1585" t="str">
        <f>IF(APNATION="","",VLOOKUP(APNATION,RESUMEINFO,2,0))</f>
        <v>Plans after graduation</v>
      </c>
      <c r="G134" s="1585"/>
      <c r="H134" s="1585"/>
      <c r="I134" s="1585"/>
      <c r="J134" s="1585"/>
      <c r="K134" s="1585"/>
      <c r="L134" s="1585"/>
      <c r="M134" s="1585"/>
      <c r="N134" s="1585"/>
      <c r="O134" s="1585"/>
      <c r="P134" s="1585"/>
      <c r="Q134" s="1585"/>
      <c r="R134" s="1242" t="str">
        <f>"進学志望校"&amp;IF(APNATION="日本語","","
"&amp;VLOOKUP(APNATION,RESUMEINFO,4,0))</f>
        <v>進学志望校
Preferred School</v>
      </c>
      <c r="S134" s="1242"/>
      <c r="T134" s="1242"/>
      <c r="U134" s="1242"/>
      <c r="V134" s="1242"/>
      <c r="W134" s="1242"/>
      <c r="X134" s="1242"/>
      <c r="Y134" s="1242"/>
      <c r="Z134" s="1242"/>
      <c r="AA134" s="1242"/>
      <c r="AB134" s="1234" t="str">
        <f>IF(Information!AB15="","",VLOOKUP(Information!AB15,PLANTRANSLATION,2,0))</f>
        <v/>
      </c>
      <c r="AC134" s="1234"/>
      <c r="AD134" s="1234"/>
      <c r="AE134" s="1234"/>
      <c r="AF134" s="1234"/>
      <c r="AG134" s="1234"/>
      <c r="AH134" s="1234"/>
      <c r="AI134" s="1234"/>
      <c r="AJ134" s="1234"/>
      <c r="AK134" s="1234"/>
      <c r="AL134" s="1234"/>
      <c r="AM134" s="1234"/>
      <c r="AN134" s="1234"/>
      <c r="AO134" s="1234"/>
      <c r="AP134" s="1234"/>
      <c r="AQ134" s="1234"/>
      <c r="AR134" s="574"/>
    </row>
    <row r="135" spans="1:44" ht="15" customHeight="1">
      <c r="A135" s="1239" t="str">
        <f>FORMULAS!D59</f>
        <v>□</v>
      </c>
      <c r="B135" s="1233" t="str">
        <f>"日本での進学"&amp;IF(APNATION="日本語","","
"&amp;VLOOKUP(APNATION,RESUMEINFO,3,0))</f>
        <v>日本での進学
Study in Japan (Further Education)</v>
      </c>
      <c r="C135" s="1233"/>
      <c r="D135" s="1233"/>
      <c r="E135" s="1233"/>
      <c r="F135" s="1233"/>
      <c r="G135" s="1233"/>
      <c r="H135" s="1233"/>
      <c r="I135" s="1233"/>
      <c r="J135" s="1233"/>
      <c r="K135" s="1233"/>
      <c r="L135" s="1233"/>
      <c r="M135" s="1233"/>
      <c r="N135" s="1233"/>
      <c r="O135" s="1233"/>
      <c r="P135" s="1233"/>
      <c r="Q135" s="1233"/>
      <c r="R135" s="1242"/>
      <c r="S135" s="1242"/>
      <c r="T135" s="1242"/>
      <c r="U135" s="1242"/>
      <c r="V135" s="1242"/>
      <c r="W135" s="1242"/>
      <c r="X135" s="1242"/>
      <c r="Y135" s="1242"/>
      <c r="Z135" s="1242"/>
      <c r="AA135" s="1242"/>
      <c r="AB135" s="1232"/>
      <c r="AC135" s="1232"/>
      <c r="AD135" s="1232"/>
      <c r="AE135" s="1232"/>
      <c r="AF135" s="1232"/>
      <c r="AG135" s="1232"/>
      <c r="AH135" s="1232"/>
      <c r="AI135" s="1232"/>
      <c r="AJ135" s="1232"/>
      <c r="AK135" s="1232"/>
      <c r="AL135" s="1232"/>
      <c r="AM135" s="1232"/>
      <c r="AN135" s="1232"/>
      <c r="AO135" s="1232"/>
      <c r="AP135" s="1232"/>
      <c r="AQ135" s="1232"/>
      <c r="AR135" s="574"/>
    </row>
    <row r="136" spans="1:44" ht="15" customHeight="1">
      <c r="A136" s="1239"/>
      <c r="B136" s="1233"/>
      <c r="C136" s="1233"/>
      <c r="D136" s="1233"/>
      <c r="E136" s="1233"/>
      <c r="F136" s="1233"/>
      <c r="G136" s="1233"/>
      <c r="H136" s="1233"/>
      <c r="I136" s="1233"/>
      <c r="J136" s="1233"/>
      <c r="K136" s="1233"/>
      <c r="L136" s="1233"/>
      <c r="M136" s="1233"/>
      <c r="N136" s="1233"/>
      <c r="O136" s="1233"/>
      <c r="P136" s="1233"/>
      <c r="Q136" s="1233"/>
      <c r="R136" s="1242" t="str">
        <f>"志望学科"&amp;IF(APNATION="日本語","","
"&amp;VLOOKUP(APNATION,RESUMEINFO,5,0))</f>
        <v>志望学科
Desired Department</v>
      </c>
      <c r="S136" s="1242"/>
      <c r="T136" s="1242"/>
      <c r="U136" s="1242"/>
      <c r="V136" s="1242"/>
      <c r="W136" s="1242"/>
      <c r="X136" s="1242"/>
      <c r="Y136" s="1242"/>
      <c r="Z136" s="1242"/>
      <c r="AA136" s="1242"/>
      <c r="AB136" s="1231" t="str">
        <f>IF(Information!AB16="","",VLOOKUP(Information!AB16,MAJORSTRANSLATION,2,0))</f>
        <v/>
      </c>
      <c r="AC136" s="1231"/>
      <c r="AD136" s="1231"/>
      <c r="AE136" s="1231"/>
      <c r="AF136" s="1231"/>
      <c r="AG136" s="1231"/>
      <c r="AH136" s="1231"/>
      <c r="AI136" s="1231"/>
      <c r="AJ136" s="1231"/>
      <c r="AK136" s="1231"/>
      <c r="AL136" s="1231"/>
      <c r="AM136" s="1231"/>
      <c r="AN136" s="1231"/>
      <c r="AO136" s="1231"/>
      <c r="AP136" s="1231"/>
      <c r="AQ136" s="1231"/>
      <c r="AR136" s="574"/>
    </row>
    <row r="137" spans="1:44" ht="15" customHeight="1">
      <c r="A137" s="1245"/>
      <c r="B137" s="1245"/>
      <c r="C137" s="1245"/>
      <c r="D137" s="1245"/>
      <c r="E137" s="1245"/>
      <c r="F137" s="1245"/>
      <c r="G137" s="1245"/>
      <c r="H137" s="1245"/>
      <c r="I137" s="1245"/>
      <c r="J137" s="1245"/>
      <c r="K137" s="1245"/>
      <c r="L137" s="1245"/>
      <c r="M137" s="1245"/>
      <c r="N137" s="1245"/>
      <c r="O137" s="1245"/>
      <c r="P137" s="1245"/>
      <c r="Q137" s="1245"/>
      <c r="R137" s="1242"/>
      <c r="S137" s="1242"/>
      <c r="T137" s="1242"/>
      <c r="U137" s="1242"/>
      <c r="V137" s="1242"/>
      <c r="W137" s="1242"/>
      <c r="X137" s="1242"/>
      <c r="Y137" s="1242"/>
      <c r="Z137" s="1242"/>
      <c r="AA137" s="1242"/>
      <c r="AB137" s="1232"/>
      <c r="AC137" s="1232"/>
      <c r="AD137" s="1232"/>
      <c r="AE137" s="1232"/>
      <c r="AF137" s="1232"/>
      <c r="AG137" s="1232"/>
      <c r="AH137" s="1232"/>
      <c r="AI137" s="1232"/>
      <c r="AJ137" s="1232"/>
      <c r="AK137" s="1232"/>
      <c r="AL137" s="1232"/>
      <c r="AM137" s="1232"/>
      <c r="AN137" s="1232"/>
      <c r="AO137" s="1232"/>
      <c r="AP137" s="1232"/>
      <c r="AQ137" s="1232"/>
      <c r="AR137" s="574"/>
    </row>
    <row r="138" spans="1:44" ht="15" customHeight="1">
      <c r="A138" s="1239" t="str">
        <f>FORMULAS!D60</f>
        <v>□</v>
      </c>
      <c r="B138" s="1233" t="str">
        <f>"日本での就職"&amp;IF(APNATION="日本語","","
"&amp;VLOOKUP(APNATION,RESUMEINFO,6,0))</f>
        <v>日本での就職
Work in Japan</v>
      </c>
      <c r="C138" s="1233"/>
      <c r="D138" s="1233"/>
      <c r="E138" s="1233"/>
      <c r="F138" s="1233"/>
      <c r="G138" s="1233"/>
      <c r="H138" s="1233"/>
      <c r="I138" s="1233"/>
      <c r="J138" s="1233"/>
      <c r="K138" s="1233"/>
      <c r="L138" s="1233"/>
      <c r="M138" s="1233"/>
      <c r="N138" s="1239" t="str">
        <f>FORMULAS!D61</f>
        <v>□</v>
      </c>
      <c r="O138" s="1239"/>
      <c r="P138" s="1233" t="str">
        <f>"帰国"&amp;IF(APNATION="日本語","","
"&amp;VLOOKUP(APNATION,RESUMEINFO,7,0))</f>
        <v>帰国
Return to home country</v>
      </c>
      <c r="Q138" s="1233"/>
      <c r="R138" s="1233"/>
      <c r="S138" s="1233"/>
      <c r="T138" s="1233"/>
      <c r="U138" s="1233"/>
      <c r="V138" s="1233"/>
      <c r="W138" s="1239" t="s">
        <v>5</v>
      </c>
      <c r="X138" s="1239"/>
      <c r="Y138" s="1233" t="str">
        <f>"その他"&amp;IF(APNATION="日本語","","
"&amp;VLOOKUP(APNATION,RESUMEINFO,8,0))</f>
        <v>その他
Other Plan</v>
      </c>
      <c r="Z138" s="1233"/>
      <c r="AA138" s="1233"/>
      <c r="AB138" s="1233"/>
      <c r="AC138" s="1233"/>
      <c r="AD138" s="1233"/>
      <c r="AE138" s="1240"/>
      <c r="AF138" s="1240"/>
      <c r="AG138" s="1240"/>
      <c r="AH138" s="1240"/>
      <c r="AI138" s="1240"/>
      <c r="AJ138" s="1240"/>
      <c r="AK138" s="1240"/>
      <c r="AL138" s="1240"/>
      <c r="AM138" s="1240"/>
      <c r="AN138" s="1240"/>
      <c r="AO138" s="1240"/>
      <c r="AP138" s="1240"/>
      <c r="AQ138" s="1240"/>
      <c r="AR138" s="574"/>
    </row>
    <row r="139" spans="1:44" ht="15" customHeight="1">
      <c r="A139" s="1239"/>
      <c r="B139" s="1233"/>
      <c r="C139" s="1233"/>
      <c r="D139" s="1233"/>
      <c r="E139" s="1233"/>
      <c r="F139" s="1233"/>
      <c r="G139" s="1233"/>
      <c r="H139" s="1233"/>
      <c r="I139" s="1233"/>
      <c r="J139" s="1233"/>
      <c r="K139" s="1233"/>
      <c r="L139" s="1233"/>
      <c r="M139" s="1233"/>
      <c r="N139" s="1239"/>
      <c r="O139" s="1239"/>
      <c r="P139" s="1233"/>
      <c r="Q139" s="1233"/>
      <c r="R139" s="1233"/>
      <c r="S139" s="1233"/>
      <c r="T139" s="1233"/>
      <c r="U139" s="1233"/>
      <c r="V139" s="1233"/>
      <c r="W139" s="1239"/>
      <c r="X139" s="1239"/>
      <c r="Y139" s="1233"/>
      <c r="Z139" s="1233"/>
      <c r="AA139" s="1233"/>
      <c r="AB139" s="1233"/>
      <c r="AC139" s="1233"/>
      <c r="AD139" s="1233"/>
      <c r="AE139" s="1241"/>
      <c r="AF139" s="1241"/>
      <c r="AG139" s="1241"/>
      <c r="AH139" s="1241"/>
      <c r="AI139" s="1241"/>
      <c r="AJ139" s="1241"/>
      <c r="AK139" s="1241"/>
      <c r="AL139" s="1241"/>
      <c r="AM139" s="1241"/>
      <c r="AN139" s="1241"/>
      <c r="AO139" s="1241"/>
      <c r="AP139" s="1241"/>
      <c r="AQ139" s="1241"/>
      <c r="AR139" s="574"/>
    </row>
    <row r="140" spans="1:44" ht="15" customHeight="1">
      <c r="A140" s="1245"/>
      <c r="B140" s="1245"/>
      <c r="C140" s="1245"/>
      <c r="D140" s="1245"/>
      <c r="E140" s="1245"/>
      <c r="F140" s="1245"/>
      <c r="G140" s="1245"/>
      <c r="H140" s="1245"/>
      <c r="I140" s="1245"/>
      <c r="J140" s="1245"/>
      <c r="K140" s="1245"/>
      <c r="L140" s="1245"/>
      <c r="M140" s="1245"/>
      <c r="N140" s="1245"/>
      <c r="O140" s="1245"/>
      <c r="P140" s="1245"/>
      <c r="Q140" s="1245"/>
      <c r="R140" s="1245"/>
      <c r="S140" s="1245"/>
      <c r="T140" s="1245"/>
      <c r="U140" s="1245"/>
      <c r="V140" s="1245"/>
      <c r="W140" s="1245"/>
      <c r="X140" s="1245"/>
      <c r="Y140" s="1245"/>
      <c r="Z140" s="1245"/>
      <c r="AA140" s="1245"/>
      <c r="AB140" s="1245"/>
      <c r="AC140" s="1245"/>
      <c r="AD140" s="1245"/>
      <c r="AE140" s="1245"/>
      <c r="AF140" s="1245"/>
      <c r="AG140" s="1245"/>
      <c r="AH140" s="1245"/>
      <c r="AI140" s="1245"/>
      <c r="AJ140" s="1245"/>
      <c r="AK140" s="1245"/>
      <c r="AL140" s="1245"/>
      <c r="AM140" s="1245"/>
      <c r="AN140" s="1245"/>
      <c r="AO140" s="1245"/>
      <c r="AP140" s="1245"/>
      <c r="AQ140" s="1245"/>
      <c r="AR140" s="574"/>
    </row>
    <row r="141" spans="1:44" ht="15" customHeight="1">
      <c r="A141" s="1235" t="str">
        <f>"あなたは日本又は日本国以外の国において刑事事件で有罪判決を受けたことがありますか。"&amp;IF(APNATION="日本語","","
"&amp;VLOOKUP(APNATION,RESUMEINFO,11,0))</f>
        <v>あなたは日本又は日本国以外の国において刑事事件で有罪判決を受けたことがありますか。
Have you ever been convicted of a crime in your country or in any other country?</v>
      </c>
      <c r="B141" s="1236"/>
      <c r="C141" s="1236"/>
      <c r="D141" s="1236"/>
      <c r="E141" s="1236"/>
      <c r="F141" s="1236"/>
      <c r="G141" s="1236"/>
      <c r="H141" s="1236"/>
      <c r="I141" s="1236"/>
      <c r="J141" s="1236"/>
      <c r="K141" s="1236"/>
      <c r="L141" s="1236"/>
      <c r="M141" s="1236"/>
      <c r="N141" s="1236"/>
      <c r="O141" s="1236"/>
      <c r="P141" s="1236"/>
      <c r="Q141" s="1236"/>
      <c r="R141" s="1236"/>
      <c r="S141" s="1236"/>
      <c r="T141" s="1236"/>
      <c r="U141" s="1236"/>
      <c r="V141" s="1236"/>
      <c r="W141" s="1236"/>
      <c r="X141" s="1236"/>
      <c r="Y141" s="1236"/>
      <c r="Z141" s="1236"/>
      <c r="AA141" s="1236"/>
      <c r="AB141" s="1236"/>
      <c r="AC141" s="1236"/>
      <c r="AD141" s="1236"/>
      <c r="AE141" s="1236"/>
      <c r="AF141" s="1236"/>
      <c r="AG141" s="1229" t="s">
        <v>5</v>
      </c>
      <c r="AH141" s="1243" t="str">
        <f>"ある"&amp;IF(OR(APNATION="日本語",APNATION="中国"),"","
"&amp;VLOOKUP(APNATION,FORMINFO,10,0))</f>
        <v>ある
Yes</v>
      </c>
      <c r="AI141" s="1243"/>
      <c r="AJ141" s="1243"/>
      <c r="AK141" s="1243"/>
      <c r="AL141" s="1229" t="s">
        <v>89</v>
      </c>
      <c r="AM141" s="1229"/>
      <c r="AN141" s="1225" t="str">
        <f>"ない"&amp;IF(OR(APNATION="日本語",APNATION="中国"),"","
"&amp;VLOOKUP(APNATION,FORMINFO,11,0))</f>
        <v>ない
No</v>
      </c>
      <c r="AO141" s="1225"/>
      <c r="AP141" s="1225"/>
      <c r="AQ141" s="1226"/>
      <c r="AR141" s="574"/>
    </row>
    <row r="142" spans="1:44" ht="15" customHeight="1">
      <c r="A142" s="1237"/>
      <c r="B142" s="1238"/>
      <c r="C142" s="1238"/>
      <c r="D142" s="1238"/>
      <c r="E142" s="1238"/>
      <c r="F142" s="1238"/>
      <c r="G142" s="1238"/>
      <c r="H142" s="1238"/>
      <c r="I142" s="1238"/>
      <c r="J142" s="1238"/>
      <c r="K142" s="1238"/>
      <c r="L142" s="1238"/>
      <c r="M142" s="1238"/>
      <c r="N142" s="1238"/>
      <c r="O142" s="1238"/>
      <c r="P142" s="1238"/>
      <c r="Q142" s="1238"/>
      <c r="R142" s="1238"/>
      <c r="S142" s="1238"/>
      <c r="T142" s="1238"/>
      <c r="U142" s="1238"/>
      <c r="V142" s="1238"/>
      <c r="W142" s="1238"/>
      <c r="X142" s="1238"/>
      <c r="Y142" s="1238"/>
      <c r="Z142" s="1238"/>
      <c r="AA142" s="1238"/>
      <c r="AB142" s="1238"/>
      <c r="AC142" s="1238"/>
      <c r="AD142" s="1238"/>
      <c r="AE142" s="1238"/>
      <c r="AF142" s="1238"/>
      <c r="AG142" s="1230"/>
      <c r="AH142" s="1244"/>
      <c r="AI142" s="1244"/>
      <c r="AJ142" s="1244"/>
      <c r="AK142" s="1244"/>
      <c r="AL142" s="1230"/>
      <c r="AM142" s="1230"/>
      <c r="AN142" s="1227"/>
      <c r="AO142" s="1227"/>
      <c r="AP142" s="1227"/>
      <c r="AQ142" s="1228"/>
      <c r="AR142" s="574"/>
    </row>
    <row r="143" spans="1:44" ht="15" customHeight="1">
      <c r="A143" s="1246"/>
      <c r="B143" s="1246"/>
      <c r="C143" s="1246"/>
      <c r="D143" s="1246"/>
      <c r="E143" s="1246"/>
      <c r="F143" s="1246"/>
      <c r="G143" s="1246"/>
      <c r="H143" s="1246"/>
      <c r="I143" s="1246"/>
      <c r="J143" s="1246"/>
      <c r="K143" s="1246"/>
      <c r="L143" s="1246"/>
      <c r="M143" s="1246"/>
      <c r="N143" s="1246"/>
      <c r="O143" s="1246"/>
      <c r="P143" s="1246"/>
      <c r="Q143" s="1246"/>
      <c r="R143" s="1246"/>
      <c r="S143" s="1246"/>
      <c r="T143" s="1246"/>
      <c r="U143" s="1246"/>
      <c r="V143" s="1246"/>
      <c r="W143" s="1246"/>
      <c r="X143" s="1246"/>
      <c r="Y143" s="1246"/>
      <c r="Z143" s="1246"/>
      <c r="AA143" s="1246"/>
      <c r="AB143" s="1246"/>
      <c r="AC143" s="1246"/>
      <c r="AD143" s="1246"/>
      <c r="AE143" s="1246"/>
      <c r="AF143" s="1246"/>
      <c r="AG143" s="1246"/>
      <c r="AH143" s="1246"/>
      <c r="AI143" s="1246"/>
      <c r="AJ143" s="1246"/>
      <c r="AK143" s="1246"/>
      <c r="AL143" s="1246"/>
      <c r="AM143" s="1246"/>
      <c r="AN143" s="1246"/>
      <c r="AO143" s="1246"/>
      <c r="AP143" s="1246"/>
      <c r="AQ143" s="1246"/>
      <c r="AR143" s="574"/>
    </row>
    <row r="144" spans="1:44" ht="15" customHeight="1">
      <c r="A144" s="1235" t="str">
        <f>"あなたは留学又はその他のビザを申請したことがありますか。"&amp;IF(APNATION="日本語","","
"&amp;VLOOKUP(APNATION,RESUMEINFO,10,0))</f>
        <v>あなたは留学又はその他のビザを申請したことがありますか。
Have you every applied to study abroad or applied for a VISA?</v>
      </c>
      <c r="B144" s="1236"/>
      <c r="C144" s="1236"/>
      <c r="D144" s="1236"/>
      <c r="E144" s="1236"/>
      <c r="F144" s="1236"/>
      <c r="G144" s="1236"/>
      <c r="H144" s="1236"/>
      <c r="I144" s="1236"/>
      <c r="J144" s="1236"/>
      <c r="K144" s="1236"/>
      <c r="L144" s="1236"/>
      <c r="M144" s="1236"/>
      <c r="N144" s="1236"/>
      <c r="O144" s="1236"/>
      <c r="P144" s="1236"/>
      <c r="Q144" s="1236"/>
      <c r="R144" s="1236"/>
      <c r="S144" s="1236"/>
      <c r="T144" s="1236"/>
      <c r="U144" s="1236"/>
      <c r="V144" s="1236"/>
      <c r="W144" s="1236"/>
      <c r="X144" s="1236"/>
      <c r="Y144" s="1236"/>
      <c r="Z144" s="1236"/>
      <c r="AA144" s="1236"/>
      <c r="AB144" s="1236"/>
      <c r="AC144" s="1236"/>
      <c r="AD144" s="1236"/>
      <c r="AE144" s="1236"/>
      <c r="AF144" s="1236"/>
      <c r="AG144" s="1229" t="str">
        <f>Information!$P$15</f>
        <v>□</v>
      </c>
      <c r="AH144" s="1243" t="str">
        <f>"ある"&amp;IF(OR(APNATION="日本語",APNATION="中国"),"","
"&amp;VLOOKUP(APNATION,FORMINFO,10,0))</f>
        <v>ある
Yes</v>
      </c>
      <c r="AI144" s="1243"/>
      <c r="AJ144" s="1243"/>
      <c r="AK144" s="1243"/>
      <c r="AL144" s="1229" t="str">
        <f>Information!$S$15</f>
        <v>□</v>
      </c>
      <c r="AM144" s="1229"/>
      <c r="AN144" s="1225" t="str">
        <f>"ない"&amp;IF(OR(APNATION="日本語",APNATION="中国"),"","
"&amp;VLOOKUP(APNATION,FORMINFO,11,0))</f>
        <v>ない
No</v>
      </c>
      <c r="AO144" s="1225"/>
      <c r="AP144" s="1225"/>
      <c r="AQ144" s="1226"/>
      <c r="AR144" s="574"/>
    </row>
    <row r="145" spans="1:106" ht="15" customHeight="1">
      <c r="A145" s="1237"/>
      <c r="B145" s="1238"/>
      <c r="C145" s="1238"/>
      <c r="D145" s="1238"/>
      <c r="E145" s="1238"/>
      <c r="F145" s="1238"/>
      <c r="G145" s="1238"/>
      <c r="H145" s="1238"/>
      <c r="I145" s="1238"/>
      <c r="J145" s="1238"/>
      <c r="K145" s="1238"/>
      <c r="L145" s="1238"/>
      <c r="M145" s="1238"/>
      <c r="N145" s="1238"/>
      <c r="O145" s="1238"/>
      <c r="P145" s="1238"/>
      <c r="Q145" s="1238"/>
      <c r="R145" s="1238"/>
      <c r="S145" s="1238"/>
      <c r="T145" s="1238"/>
      <c r="U145" s="1238"/>
      <c r="V145" s="1238"/>
      <c r="W145" s="1238"/>
      <c r="X145" s="1238"/>
      <c r="Y145" s="1238"/>
      <c r="Z145" s="1238"/>
      <c r="AA145" s="1238"/>
      <c r="AB145" s="1238"/>
      <c r="AC145" s="1238"/>
      <c r="AD145" s="1238"/>
      <c r="AE145" s="1238"/>
      <c r="AF145" s="1238"/>
      <c r="AG145" s="1230"/>
      <c r="AH145" s="1244"/>
      <c r="AI145" s="1244"/>
      <c r="AJ145" s="1244"/>
      <c r="AK145" s="1244"/>
      <c r="AL145" s="1230"/>
      <c r="AM145" s="1230"/>
      <c r="AN145" s="1227"/>
      <c r="AO145" s="1227"/>
      <c r="AP145" s="1227"/>
      <c r="AQ145" s="1228"/>
      <c r="AR145" s="575"/>
    </row>
    <row r="146" spans="1:106" ht="15" customHeight="1">
      <c r="A146" s="1246"/>
      <c r="B146" s="1246"/>
      <c r="C146" s="1246"/>
      <c r="D146" s="1246"/>
      <c r="E146" s="1246"/>
      <c r="F146" s="1246"/>
      <c r="G146" s="1246"/>
      <c r="H146" s="1246"/>
      <c r="I146" s="1246"/>
      <c r="J146" s="1246"/>
      <c r="K146" s="1246"/>
      <c r="L146" s="1246"/>
      <c r="M146" s="1246"/>
      <c r="N146" s="1246"/>
      <c r="O146" s="1246"/>
      <c r="P146" s="1246"/>
      <c r="Q146" s="1246"/>
      <c r="R146" s="1246"/>
      <c r="S146" s="1246"/>
      <c r="T146" s="1246"/>
      <c r="U146" s="1246"/>
      <c r="V146" s="1246"/>
      <c r="W146" s="1246"/>
      <c r="X146" s="1246"/>
      <c r="Y146" s="1246"/>
      <c r="Z146" s="1246"/>
      <c r="AA146" s="1246"/>
      <c r="AB146" s="1246"/>
      <c r="AC146" s="1246"/>
      <c r="AD146" s="1246"/>
      <c r="AE146" s="1246"/>
      <c r="AF146" s="1246"/>
      <c r="AG146" s="1246"/>
      <c r="AH146" s="1246"/>
      <c r="AI146" s="1246"/>
      <c r="AJ146" s="1246"/>
      <c r="AK146" s="1246"/>
      <c r="AL146" s="1246"/>
      <c r="AM146" s="1246"/>
      <c r="AN146" s="1246"/>
      <c r="AO146" s="1246"/>
      <c r="AP146" s="1246"/>
      <c r="AQ146" s="1246"/>
      <c r="AR146" s="575"/>
    </row>
    <row r="147" spans="1:106" ht="15" customHeight="1">
      <c r="A147" s="1235" t="str">
        <f>"在留資格認定証明書交付を申請したことがありますか。"&amp;IF(APNATION="日本語","","
"&amp;VLOOKUP(APNATION,RESUMEINFO,15,0))</f>
        <v>在留資格認定証明書交付を申請したことがありますか。
Have you ever applied for a Certificate of Eligibility?</v>
      </c>
      <c r="B147" s="1236"/>
      <c r="C147" s="1236"/>
      <c r="D147" s="1236"/>
      <c r="E147" s="1236"/>
      <c r="F147" s="1236"/>
      <c r="G147" s="1236"/>
      <c r="H147" s="1236"/>
      <c r="I147" s="1236"/>
      <c r="J147" s="1236"/>
      <c r="K147" s="1236"/>
      <c r="L147" s="1236"/>
      <c r="M147" s="1236"/>
      <c r="N147" s="1236"/>
      <c r="O147" s="1236"/>
      <c r="P147" s="1236"/>
      <c r="Q147" s="1236"/>
      <c r="R147" s="1236"/>
      <c r="S147" s="1236"/>
      <c r="T147" s="1236"/>
      <c r="U147" s="1236"/>
      <c r="V147" s="1236"/>
      <c r="W147" s="1236"/>
      <c r="X147" s="1236"/>
      <c r="Y147" s="1236"/>
      <c r="Z147" s="1236"/>
      <c r="AA147" s="1236"/>
      <c r="AB147" s="1236"/>
      <c r="AC147" s="1236"/>
      <c r="AD147" s="1236"/>
      <c r="AE147" s="1236"/>
      <c r="AF147" s="1236"/>
      <c r="AG147" s="1229" t="str">
        <f>Information!$P$14</f>
        <v>□</v>
      </c>
      <c r="AH147" s="1243" t="str">
        <f>"ある"&amp;IF(OR(APNATION="日本語",APNATION="中国"),"","
"&amp;VLOOKUP(APNATION,FORMINFO,10,0))</f>
        <v>ある
Yes</v>
      </c>
      <c r="AI147" s="1243"/>
      <c r="AJ147" s="1243"/>
      <c r="AK147" s="1243"/>
      <c r="AL147" s="1229" t="str">
        <f>Information!$S$14</f>
        <v>□</v>
      </c>
      <c r="AM147" s="1229"/>
      <c r="AN147" s="1225" t="str">
        <f>"ない"&amp;IF(OR(APNATION="日本語",APNATION="中国"),"","
"&amp;VLOOKUP(APNATION,FORMINFO,11,0))</f>
        <v>ない
No</v>
      </c>
      <c r="AO147" s="1225"/>
      <c r="AP147" s="1225"/>
      <c r="AQ147" s="1226"/>
      <c r="AR147" s="575"/>
      <c r="BL147" s="32"/>
      <c r="BM147" s="32"/>
      <c r="BN147" s="32"/>
      <c r="BO147" s="32"/>
      <c r="BP147" s="32"/>
      <c r="BQ147" s="32"/>
      <c r="BR147" s="32"/>
      <c r="BS147" s="32"/>
      <c r="BT147" s="32"/>
      <c r="BU147" s="32"/>
      <c r="BV147" s="32"/>
      <c r="BW147" s="32"/>
      <c r="BX147" s="32"/>
      <c r="BY147" s="32"/>
      <c r="BZ147" s="32"/>
      <c r="CA147" s="32"/>
      <c r="CB147" s="32"/>
      <c r="CC147" s="32"/>
      <c r="CD147" s="32"/>
      <c r="CE147" s="32"/>
      <c r="CF147" s="32"/>
      <c r="CG147" s="32"/>
      <c r="CH147" s="32"/>
      <c r="CI147" s="32"/>
      <c r="CJ147" s="32"/>
      <c r="CK147" s="32"/>
      <c r="CL147" s="32"/>
      <c r="CM147" s="32"/>
      <c r="CN147" s="32"/>
      <c r="CO147" s="32"/>
      <c r="CP147" s="32"/>
      <c r="CQ147" s="32"/>
      <c r="CR147" s="32"/>
      <c r="CS147" s="32"/>
      <c r="CT147" s="32"/>
      <c r="CU147" s="32"/>
      <c r="CV147" s="32"/>
      <c r="CW147" s="32"/>
      <c r="CX147" s="32"/>
      <c r="CY147" s="32"/>
      <c r="CZ147" s="32"/>
      <c r="DA147" s="32"/>
      <c r="DB147" s="32"/>
    </row>
    <row r="148" spans="1:106" ht="15" customHeight="1">
      <c r="A148" s="1237"/>
      <c r="B148" s="1238"/>
      <c r="C148" s="1238"/>
      <c r="D148" s="1238"/>
      <c r="E148" s="1238"/>
      <c r="F148" s="1238"/>
      <c r="G148" s="1238"/>
      <c r="H148" s="1238"/>
      <c r="I148" s="1238"/>
      <c r="J148" s="1238"/>
      <c r="K148" s="1238"/>
      <c r="L148" s="1238"/>
      <c r="M148" s="1238"/>
      <c r="N148" s="1238"/>
      <c r="O148" s="1238"/>
      <c r="P148" s="1238"/>
      <c r="Q148" s="1238"/>
      <c r="R148" s="1238"/>
      <c r="S148" s="1238"/>
      <c r="T148" s="1238"/>
      <c r="U148" s="1238"/>
      <c r="V148" s="1238"/>
      <c r="W148" s="1238"/>
      <c r="X148" s="1238"/>
      <c r="Y148" s="1238"/>
      <c r="Z148" s="1238"/>
      <c r="AA148" s="1238"/>
      <c r="AB148" s="1238"/>
      <c r="AC148" s="1238"/>
      <c r="AD148" s="1238"/>
      <c r="AE148" s="1238"/>
      <c r="AF148" s="1238"/>
      <c r="AG148" s="1230"/>
      <c r="AH148" s="1244"/>
      <c r="AI148" s="1244"/>
      <c r="AJ148" s="1244"/>
      <c r="AK148" s="1244"/>
      <c r="AL148" s="1230"/>
      <c r="AM148" s="1230"/>
      <c r="AN148" s="1227"/>
      <c r="AO148" s="1227"/>
      <c r="AP148" s="1227"/>
      <c r="AQ148" s="1228"/>
      <c r="AR148" s="575"/>
    </row>
    <row r="149" spans="1:106" ht="15" customHeight="1">
      <c r="A149" s="1246"/>
      <c r="B149" s="1246"/>
      <c r="C149" s="1246"/>
      <c r="D149" s="1246"/>
      <c r="E149" s="1246"/>
      <c r="F149" s="1246"/>
      <c r="G149" s="1246"/>
      <c r="H149" s="1246"/>
      <c r="I149" s="1246"/>
      <c r="J149" s="1246"/>
      <c r="K149" s="1246"/>
      <c r="L149" s="1246"/>
      <c r="M149" s="1246"/>
      <c r="N149" s="1246"/>
      <c r="O149" s="1246"/>
      <c r="P149" s="1246"/>
      <c r="Q149" s="1246"/>
      <c r="R149" s="1246"/>
      <c r="S149" s="1246"/>
      <c r="T149" s="1246"/>
      <c r="U149" s="1246"/>
      <c r="V149" s="1246"/>
      <c r="W149" s="1246"/>
      <c r="X149" s="1246"/>
      <c r="Y149" s="1246"/>
      <c r="Z149" s="1246"/>
      <c r="AA149" s="1246"/>
      <c r="AB149" s="1246"/>
      <c r="AC149" s="1246"/>
      <c r="AD149" s="1246"/>
      <c r="AE149" s="1246"/>
      <c r="AF149" s="1246"/>
      <c r="AG149" s="1246"/>
      <c r="AH149" s="1246"/>
      <c r="AI149" s="1246"/>
      <c r="AJ149" s="1246"/>
      <c r="AK149" s="1246"/>
      <c r="AL149" s="1246"/>
      <c r="AM149" s="1246"/>
      <c r="AN149" s="1246"/>
      <c r="AO149" s="1246"/>
      <c r="AP149" s="1246"/>
      <c r="AQ149" s="1246"/>
      <c r="AR149" s="575"/>
    </row>
    <row r="150" spans="1:106" ht="15" customHeight="1">
      <c r="A150" s="1247" t="str">
        <f>"（上記で『ある』を選択した場合）"&amp;IF(APNATION="日本語","","
"&amp;VLOOKUP(APNATION,RESUMEINFO,16,0))</f>
        <v>（上記で『ある』を選択した場合）
（Complete the following if the answer is "yes"）</v>
      </c>
      <c r="B150" s="1225"/>
      <c r="C150" s="1225"/>
      <c r="D150" s="1225"/>
      <c r="E150" s="1225"/>
      <c r="F150" s="1225"/>
      <c r="G150" s="1225"/>
      <c r="H150" s="1225"/>
      <c r="I150" s="1225"/>
      <c r="J150" s="1225"/>
      <c r="K150" s="1225"/>
      <c r="L150" s="1225"/>
      <c r="M150" s="1225"/>
      <c r="N150" s="1225"/>
      <c r="O150" s="1225"/>
      <c r="P150" s="1596" t="str">
        <f>IF(Information!AB14="","",Information!AB14)</f>
        <v/>
      </c>
      <c r="Q150" s="1596"/>
      <c r="R150" s="1225" t="str">
        <f>"回"&amp;IF(OR(APNATION="日本語",APNATION="中国"),"","
"&amp;IF(APNATION="","",VLOOKUP(APNATION,RESUMEINFO,20,0)))</f>
        <v>回
times</v>
      </c>
      <c r="S150" s="1225"/>
      <c r="T150" s="1225"/>
      <c r="U150" s="1225"/>
      <c r="V150" s="1247" t="str">
        <f>"（うち不交付となった回数）"&amp;IF(APNATION="日本語","","
"&amp;VLOOKUP(APNATION,RESUMEINFO,17,0))</f>
        <v>（うち不交付となった回数）
（Of these applications, how many were denied?）</v>
      </c>
      <c r="W150" s="1225"/>
      <c r="X150" s="1225"/>
      <c r="Y150" s="1225"/>
      <c r="Z150" s="1225"/>
      <c r="AA150" s="1225"/>
      <c r="AB150" s="1225"/>
      <c r="AC150" s="1225"/>
      <c r="AD150" s="1225"/>
      <c r="AE150" s="1225"/>
      <c r="AF150" s="1225"/>
      <c r="AG150" s="1225"/>
      <c r="AH150" s="1225"/>
      <c r="AI150" s="1225"/>
      <c r="AJ150" s="1225"/>
      <c r="AK150" s="1225"/>
      <c r="AL150" s="1596" t="str">
        <f>IF(Information!AM14="","",Information!AM14)</f>
        <v/>
      </c>
      <c r="AM150" s="1596"/>
      <c r="AN150" s="1225" t="str">
        <f>"回"&amp;IF(OR(APNATION="日本語",APNATION="中国"),"","
"&amp;IF(APNATION="","",VLOOKUP(APNATION,RESUMEINFO,20,0)))</f>
        <v>回
times</v>
      </c>
      <c r="AO150" s="1225"/>
      <c r="AP150" s="1225"/>
      <c r="AQ150" s="1226"/>
      <c r="AR150" s="575"/>
    </row>
    <row r="151" spans="1:106" ht="15" customHeight="1">
      <c r="A151" s="1250"/>
      <c r="B151" s="1227"/>
      <c r="C151" s="1227"/>
      <c r="D151" s="1227"/>
      <c r="E151" s="1227"/>
      <c r="F151" s="1227"/>
      <c r="G151" s="1227"/>
      <c r="H151" s="1227"/>
      <c r="I151" s="1227"/>
      <c r="J151" s="1227"/>
      <c r="K151" s="1227"/>
      <c r="L151" s="1227"/>
      <c r="M151" s="1227"/>
      <c r="N151" s="1227"/>
      <c r="O151" s="1227"/>
      <c r="P151" s="1597"/>
      <c r="Q151" s="1597"/>
      <c r="R151" s="1227"/>
      <c r="S151" s="1227"/>
      <c r="T151" s="1227"/>
      <c r="U151" s="1227"/>
      <c r="V151" s="1250"/>
      <c r="W151" s="1227"/>
      <c r="X151" s="1227"/>
      <c r="Y151" s="1227"/>
      <c r="Z151" s="1227"/>
      <c r="AA151" s="1227"/>
      <c r="AB151" s="1227"/>
      <c r="AC151" s="1227"/>
      <c r="AD151" s="1227"/>
      <c r="AE151" s="1227"/>
      <c r="AF151" s="1227"/>
      <c r="AG151" s="1227"/>
      <c r="AH151" s="1227"/>
      <c r="AI151" s="1227"/>
      <c r="AJ151" s="1227"/>
      <c r="AK151" s="1227"/>
      <c r="AL151" s="1597"/>
      <c r="AM151" s="1597"/>
      <c r="AN151" s="1227"/>
      <c r="AO151" s="1227"/>
      <c r="AP151" s="1227"/>
      <c r="AQ151" s="1228"/>
      <c r="AR151" s="575"/>
    </row>
    <row r="152" spans="1:106" ht="15" customHeight="1">
      <c r="A152" s="1246"/>
      <c r="B152" s="1246"/>
      <c r="C152" s="1246"/>
      <c r="D152" s="1246"/>
      <c r="E152" s="1246"/>
      <c r="F152" s="1246"/>
      <c r="G152" s="1246"/>
      <c r="H152" s="1246"/>
      <c r="I152" s="1246"/>
      <c r="J152" s="1246"/>
      <c r="K152" s="1246"/>
      <c r="L152" s="1246"/>
      <c r="M152" s="1246"/>
      <c r="N152" s="1246"/>
      <c r="O152" s="1246"/>
      <c r="P152" s="1246"/>
      <c r="Q152" s="1246"/>
      <c r="R152" s="1246"/>
      <c r="S152" s="1246"/>
      <c r="T152" s="1246"/>
      <c r="U152" s="1246"/>
      <c r="V152" s="1246"/>
      <c r="W152" s="1246"/>
      <c r="X152" s="1246"/>
      <c r="Y152" s="1246"/>
      <c r="Z152" s="1246"/>
      <c r="AA152" s="1246"/>
      <c r="AB152" s="1246"/>
      <c r="AC152" s="1246"/>
      <c r="AD152" s="1246"/>
      <c r="AE152" s="1246"/>
      <c r="AF152" s="1246"/>
      <c r="AG152" s="1246"/>
      <c r="AH152" s="1246"/>
      <c r="AI152" s="1246"/>
      <c r="AJ152" s="1246"/>
      <c r="AK152" s="1246"/>
      <c r="AL152" s="1246"/>
      <c r="AM152" s="1246"/>
      <c r="AN152" s="1246"/>
      <c r="AO152" s="1246"/>
      <c r="AP152" s="1246"/>
      <c r="AQ152" s="1246"/>
      <c r="AR152" s="575"/>
    </row>
    <row r="153" spans="1:106" ht="15" customHeight="1">
      <c r="A153" s="1235" t="str">
        <f>"あなたは日本から強制退去や上陸拒否されたことがありますか。"&amp;IF(APNATION="日本語","","
"&amp;VLOOKUP(APNATION,RESUMEINFO,9,0))</f>
        <v>あなたは日本から強制退去や上陸拒否されたことがありますか。
Have you ever been denied entry or forcibly removed from Japan?</v>
      </c>
      <c r="B153" s="1236"/>
      <c r="C153" s="1236"/>
      <c r="D153" s="1236"/>
      <c r="E153" s="1236"/>
      <c r="F153" s="1236"/>
      <c r="G153" s="1236"/>
      <c r="H153" s="1236"/>
      <c r="I153" s="1236"/>
      <c r="J153" s="1236"/>
      <c r="K153" s="1236"/>
      <c r="L153" s="1236"/>
      <c r="M153" s="1236"/>
      <c r="N153" s="1236"/>
      <c r="O153" s="1236"/>
      <c r="P153" s="1236"/>
      <c r="Q153" s="1236"/>
      <c r="R153" s="1236"/>
      <c r="S153" s="1236"/>
      <c r="T153" s="1236"/>
      <c r="U153" s="1236"/>
      <c r="V153" s="1236"/>
      <c r="W153" s="1236"/>
      <c r="X153" s="1236"/>
      <c r="Y153" s="1236"/>
      <c r="Z153" s="1236"/>
      <c r="AA153" s="1236"/>
      <c r="AB153" s="1236"/>
      <c r="AC153" s="1236"/>
      <c r="AD153" s="1236"/>
      <c r="AE153" s="1236"/>
      <c r="AF153" s="1236"/>
      <c r="AG153" s="1229" t="s">
        <v>5</v>
      </c>
      <c r="AH153" s="1243" t="str">
        <f>"ある"&amp;IF(OR(APNATION="日本語",APNATION="中国"),"","
"&amp;VLOOKUP(APNATION,FORMINFO,10,0))</f>
        <v>ある
Yes</v>
      </c>
      <c r="AI153" s="1243"/>
      <c r="AJ153" s="1243"/>
      <c r="AK153" s="1243"/>
      <c r="AL153" s="1229" t="s">
        <v>89</v>
      </c>
      <c r="AM153" s="1229"/>
      <c r="AN153" s="1225" t="str">
        <f>"ない"&amp;IF(OR(APNATION="日本語",APNATION="中国"),"","
"&amp;VLOOKUP(APNATION,FORMINFO,11,0))</f>
        <v>ない
No</v>
      </c>
      <c r="AO153" s="1225"/>
      <c r="AP153" s="1225"/>
      <c r="AQ153" s="1226"/>
      <c r="AR153" s="575"/>
    </row>
    <row r="154" spans="1:106" ht="15" customHeight="1">
      <c r="A154" s="1237"/>
      <c r="B154" s="1238"/>
      <c r="C154" s="1238"/>
      <c r="D154" s="1238"/>
      <c r="E154" s="1238"/>
      <c r="F154" s="1238"/>
      <c r="G154" s="1238"/>
      <c r="H154" s="1238"/>
      <c r="I154" s="1238"/>
      <c r="J154" s="1238"/>
      <c r="K154" s="1238"/>
      <c r="L154" s="1238"/>
      <c r="M154" s="1238"/>
      <c r="N154" s="1238"/>
      <c r="O154" s="1238"/>
      <c r="P154" s="1238"/>
      <c r="Q154" s="1238"/>
      <c r="R154" s="1238"/>
      <c r="S154" s="1238"/>
      <c r="T154" s="1238"/>
      <c r="U154" s="1238"/>
      <c r="V154" s="1238"/>
      <c r="W154" s="1238"/>
      <c r="X154" s="1238"/>
      <c r="Y154" s="1238"/>
      <c r="Z154" s="1238"/>
      <c r="AA154" s="1238"/>
      <c r="AB154" s="1238"/>
      <c r="AC154" s="1238"/>
      <c r="AD154" s="1238"/>
      <c r="AE154" s="1238"/>
      <c r="AF154" s="1238"/>
      <c r="AG154" s="1230"/>
      <c r="AH154" s="1244"/>
      <c r="AI154" s="1244"/>
      <c r="AJ154" s="1244"/>
      <c r="AK154" s="1244"/>
      <c r="AL154" s="1230"/>
      <c r="AM154" s="1230"/>
      <c r="AN154" s="1227"/>
      <c r="AO154" s="1227"/>
      <c r="AP154" s="1227"/>
      <c r="AQ154" s="1228"/>
      <c r="AR154" s="535"/>
    </row>
    <row r="155" spans="1:106" ht="22.5" customHeight="1">
      <c r="A155" s="1585" t="str">
        <f>"家族　"&amp;IF(APNATION="","",VLOOKUP(APNATION,RESUMEINFO,12,0))</f>
        <v>家族　Family</v>
      </c>
      <c r="B155" s="1585"/>
      <c r="C155" s="1585"/>
      <c r="D155" s="1585"/>
      <c r="E155" s="1585"/>
      <c r="F155" s="1585"/>
      <c r="G155" s="1585"/>
      <c r="H155" s="1585"/>
      <c r="I155" s="1585"/>
      <c r="J155" s="1585"/>
      <c r="K155" s="1585"/>
      <c r="L155" s="1585"/>
      <c r="M155" s="1585"/>
      <c r="N155" s="1585"/>
      <c r="O155" s="1585"/>
      <c r="P155" s="1585"/>
      <c r="Q155" s="1585"/>
      <c r="R155" s="1585"/>
      <c r="S155" s="1585"/>
      <c r="T155" s="1585"/>
      <c r="U155" s="1585"/>
      <c r="V155" s="1585"/>
      <c r="W155" s="1585"/>
      <c r="X155" s="1585"/>
      <c r="Y155" s="1585"/>
      <c r="Z155" s="1585"/>
      <c r="AA155" s="1585"/>
      <c r="AB155" s="1585"/>
      <c r="AC155" s="1585"/>
      <c r="AD155" s="1585"/>
      <c r="AE155" s="1585"/>
      <c r="AF155" s="1585"/>
      <c r="AG155" s="1585"/>
      <c r="AH155" s="1585"/>
      <c r="AI155" s="1585"/>
      <c r="AJ155" s="1585"/>
      <c r="AK155" s="1585"/>
      <c r="AL155" s="1585"/>
      <c r="AM155" s="1585"/>
      <c r="AN155" s="1585"/>
      <c r="AO155" s="1585"/>
      <c r="AP155" s="1585"/>
      <c r="AQ155" s="1585"/>
      <c r="AR155" s="535"/>
    </row>
    <row r="156" spans="1:106" ht="15" customHeight="1">
      <c r="A156" s="1586" t="s">
        <v>90</v>
      </c>
      <c r="B156" s="1587"/>
      <c r="C156" s="1587"/>
      <c r="D156" s="1588" t="s">
        <v>91</v>
      </c>
      <c r="E156" s="1589"/>
      <c r="F156" s="1589"/>
      <c r="G156" s="1589"/>
      <c r="H156" s="1589"/>
      <c r="I156" s="1589"/>
      <c r="J156" s="1590"/>
      <c r="K156" s="1589" t="s">
        <v>92</v>
      </c>
      <c r="L156" s="1589"/>
      <c r="M156" s="1591" t="s">
        <v>33</v>
      </c>
      <c r="N156" s="1592"/>
      <c r="O156" s="1592"/>
      <c r="P156" s="1593"/>
      <c r="Q156" s="1589" t="s">
        <v>93</v>
      </c>
      <c r="R156" s="1589"/>
      <c r="S156" s="1589"/>
      <c r="T156" s="1589"/>
      <c r="U156" s="1588" t="s">
        <v>94</v>
      </c>
      <c r="V156" s="1589"/>
      <c r="W156" s="1589"/>
      <c r="X156" s="1589"/>
      <c r="Y156" s="1589"/>
      <c r="Z156" s="1589"/>
      <c r="AA156" s="1589"/>
      <c r="AB156" s="1589"/>
      <c r="AC156" s="1589"/>
      <c r="AD156" s="1589"/>
      <c r="AE156" s="1589"/>
      <c r="AF156" s="1589"/>
      <c r="AG156" s="1589"/>
      <c r="AH156" s="1589"/>
      <c r="AI156" s="1589"/>
      <c r="AJ156" s="1589"/>
      <c r="AK156" s="1589"/>
      <c r="AL156" s="1589"/>
      <c r="AM156" s="1589"/>
      <c r="AN156" s="1590"/>
      <c r="AO156" s="1594" t="s">
        <v>95</v>
      </c>
      <c r="AP156" s="1594"/>
      <c r="AQ156" s="1595"/>
      <c r="AR156" s="535"/>
    </row>
    <row r="157" spans="1:106" ht="15" customHeight="1">
      <c r="A157" s="1578" t="str">
        <f>IF(APNATION="","",VLOOKUP(APNATION,FORMINFO,5,0))</f>
        <v>Nationality</v>
      </c>
      <c r="B157" s="1579"/>
      <c r="C157" s="1579"/>
      <c r="D157" s="1580" t="str">
        <f>IF(APNATION="","",VLOOKUP(APNATION,NAMETR,2,0))</f>
        <v>Full Name</v>
      </c>
      <c r="E157" s="1581"/>
      <c r="F157" s="1581"/>
      <c r="G157" s="1581"/>
      <c r="H157" s="1581"/>
      <c r="I157" s="1581"/>
      <c r="J157" s="1582"/>
      <c r="K157" s="1581" t="str">
        <f>IF(APNATION="","",VLOOKUP(APNATION,FORMINFO,6,0))</f>
        <v>Gender</v>
      </c>
      <c r="L157" s="1581"/>
      <c r="M157" s="1580" t="str">
        <f>IF(APNATION="","",VLOOKUP(APNATION,FORMINFO,12,0))</f>
        <v>Date of Birth</v>
      </c>
      <c r="N157" s="1581"/>
      <c r="O157" s="1581"/>
      <c r="P157" s="1582"/>
      <c r="Q157" s="1581" t="str">
        <f>IF(APNATION="","",VLOOKUP(APNATION,FORMINFO,19,0))</f>
        <v>Occupation</v>
      </c>
      <c r="R157" s="1581"/>
      <c r="S157" s="1581"/>
      <c r="T157" s="1581"/>
      <c r="U157" s="1580" t="str">
        <f>IF(APNATION="","",VLOOKUP(APNATION,FORMINFO,20,0))</f>
        <v>Home Address</v>
      </c>
      <c r="V157" s="1581"/>
      <c r="W157" s="1581"/>
      <c r="X157" s="1581"/>
      <c r="Y157" s="1581"/>
      <c r="Z157" s="1581"/>
      <c r="AA157" s="1581"/>
      <c r="AB157" s="1581"/>
      <c r="AC157" s="1581"/>
      <c r="AD157" s="1581"/>
      <c r="AE157" s="1581"/>
      <c r="AF157" s="1581"/>
      <c r="AG157" s="1581"/>
      <c r="AH157" s="1581"/>
      <c r="AI157" s="1581"/>
      <c r="AJ157" s="1581"/>
      <c r="AK157" s="1581"/>
      <c r="AL157" s="1581"/>
      <c r="AM157" s="1581"/>
      <c r="AN157" s="1582"/>
      <c r="AO157" s="1583" t="str">
        <f>IF(APNATION="","",VLOOKUP(APNATION,FORMINFO,71,0))</f>
        <v>Relationship</v>
      </c>
      <c r="AP157" s="1583"/>
      <c r="AQ157" s="1584"/>
      <c r="AR157" s="535"/>
    </row>
    <row r="158" spans="1:106" ht="15" customHeight="1">
      <c r="A158" s="1565" t="str">
        <f>FORMULAS!AJ30</f>
        <v/>
      </c>
      <c r="B158" s="1566"/>
      <c r="C158" s="1567"/>
      <c r="D158" s="1310" t="str">
        <f>FORMULAS!Y30</f>
        <v/>
      </c>
      <c r="E158" s="1310"/>
      <c r="F158" s="1310"/>
      <c r="G158" s="1310"/>
      <c r="H158" s="1310"/>
      <c r="I158" s="1310"/>
      <c r="J158" s="1310"/>
      <c r="K158" s="1568" t="str">
        <f>FORMULAS!Z30</f>
        <v/>
      </c>
      <c r="L158" s="1569"/>
      <c r="M158" s="1570" t="str">
        <f>FORMULAS!AA30</f>
        <v/>
      </c>
      <c r="N158" s="1571"/>
      <c r="O158" s="1571"/>
      <c r="P158" s="1572"/>
      <c r="Q158" s="1573" t="str">
        <f>FORMULAS!AB30</f>
        <v/>
      </c>
      <c r="R158" s="1574"/>
      <c r="S158" s="1574"/>
      <c r="T158" s="1575"/>
      <c r="U158" s="1454" t="str">
        <f>UPPER(IF(FORMULAS!AE30="死亡","",FORMULAS!AC30))</f>
        <v/>
      </c>
      <c r="V158" s="1454"/>
      <c r="W158" s="1454"/>
      <c r="X158" s="1454"/>
      <c r="Y158" s="1454"/>
      <c r="Z158" s="1454"/>
      <c r="AA158" s="1454"/>
      <c r="AB158" s="1454"/>
      <c r="AC158" s="1454"/>
      <c r="AD158" s="1454"/>
      <c r="AE158" s="1454"/>
      <c r="AF158" s="1454"/>
      <c r="AG158" s="1454"/>
      <c r="AH158" s="1454"/>
      <c r="AI158" s="1454"/>
      <c r="AJ158" s="1454"/>
      <c r="AK158" s="1454"/>
      <c r="AL158" s="1454"/>
      <c r="AM158" s="1454"/>
      <c r="AN158" s="1454"/>
      <c r="AO158" s="1576" t="str">
        <f>FORMULAS!AL30</f>
        <v/>
      </c>
      <c r="AP158" s="1566"/>
      <c r="AQ158" s="1577"/>
      <c r="AR158" s="535"/>
    </row>
    <row r="159" spans="1:106" ht="15" customHeight="1">
      <c r="A159" s="1295" t="str">
        <f>FORMULAS!AK30</f>
        <v/>
      </c>
      <c r="B159" s="1296"/>
      <c r="C159" s="1297"/>
      <c r="D159" s="1311"/>
      <c r="E159" s="1311"/>
      <c r="F159" s="1311"/>
      <c r="G159" s="1311"/>
      <c r="H159" s="1311"/>
      <c r="I159" s="1311"/>
      <c r="J159" s="1311"/>
      <c r="K159" s="1298" t="str">
        <f>FORMULAS!AG30</f>
        <v/>
      </c>
      <c r="L159" s="1299"/>
      <c r="M159" s="1300" t="str">
        <f>FORMULAS!AF30</f>
        <v/>
      </c>
      <c r="N159" s="1301"/>
      <c r="O159" s="1301"/>
      <c r="P159" s="1302"/>
      <c r="Q159" s="1303" t="str">
        <f>FORMULAS!AE30</f>
        <v/>
      </c>
      <c r="R159" s="1304"/>
      <c r="S159" s="1304"/>
      <c r="T159" s="1305"/>
      <c r="U159" s="1308"/>
      <c r="V159" s="1308"/>
      <c r="W159" s="1308"/>
      <c r="X159" s="1308"/>
      <c r="Y159" s="1308"/>
      <c r="Z159" s="1308"/>
      <c r="AA159" s="1308"/>
      <c r="AB159" s="1308"/>
      <c r="AC159" s="1308"/>
      <c r="AD159" s="1308"/>
      <c r="AE159" s="1308"/>
      <c r="AF159" s="1308"/>
      <c r="AG159" s="1308"/>
      <c r="AH159" s="1308"/>
      <c r="AI159" s="1308"/>
      <c r="AJ159" s="1308"/>
      <c r="AK159" s="1308"/>
      <c r="AL159" s="1308"/>
      <c r="AM159" s="1308"/>
      <c r="AN159" s="1308"/>
      <c r="AO159" s="1298">
        <f>FORMULAS!AM30</f>
        <v>0</v>
      </c>
      <c r="AP159" s="1306"/>
      <c r="AQ159" s="1307"/>
      <c r="AR159" s="535"/>
    </row>
    <row r="160" spans="1:106" ht="15" customHeight="1">
      <c r="A160" s="1565" t="str">
        <f>FORMULAS!AJ31</f>
        <v/>
      </c>
      <c r="B160" s="1566"/>
      <c r="C160" s="1567"/>
      <c r="D160" s="1311" t="str">
        <f>FORMULAS!Y31</f>
        <v/>
      </c>
      <c r="E160" s="1311"/>
      <c r="F160" s="1311"/>
      <c r="G160" s="1311"/>
      <c r="H160" s="1311"/>
      <c r="I160" s="1311"/>
      <c r="J160" s="1311"/>
      <c r="K160" s="1568" t="str">
        <f>FORMULAS!Z31</f>
        <v/>
      </c>
      <c r="L160" s="1569"/>
      <c r="M160" s="1570" t="str">
        <f>FORMULAS!AA31</f>
        <v/>
      </c>
      <c r="N160" s="1571"/>
      <c r="O160" s="1571"/>
      <c r="P160" s="1572"/>
      <c r="Q160" s="1573" t="str">
        <f>FORMULAS!AB31</f>
        <v/>
      </c>
      <c r="R160" s="1574"/>
      <c r="S160" s="1574"/>
      <c r="T160" s="1575"/>
      <c r="U160" s="1308" t="str">
        <f>UPPER(IF(FORMULAS!AE31="死亡","",FORMULAS!AC31))</f>
        <v/>
      </c>
      <c r="V160" s="1308"/>
      <c r="W160" s="1308"/>
      <c r="X160" s="1308"/>
      <c r="Y160" s="1308"/>
      <c r="Z160" s="1308"/>
      <c r="AA160" s="1308"/>
      <c r="AB160" s="1308"/>
      <c r="AC160" s="1308"/>
      <c r="AD160" s="1308"/>
      <c r="AE160" s="1308"/>
      <c r="AF160" s="1308"/>
      <c r="AG160" s="1308"/>
      <c r="AH160" s="1308"/>
      <c r="AI160" s="1308"/>
      <c r="AJ160" s="1308"/>
      <c r="AK160" s="1308"/>
      <c r="AL160" s="1308"/>
      <c r="AM160" s="1308"/>
      <c r="AN160" s="1308"/>
      <c r="AO160" s="1576" t="str">
        <f>FORMULAS!AL31</f>
        <v/>
      </c>
      <c r="AP160" s="1566"/>
      <c r="AQ160" s="1577"/>
      <c r="AR160" s="535"/>
    </row>
    <row r="161" spans="1:44" ht="15" customHeight="1">
      <c r="A161" s="1295" t="str">
        <f>FORMULAS!AK31</f>
        <v/>
      </c>
      <c r="B161" s="1296"/>
      <c r="C161" s="1297"/>
      <c r="D161" s="1311"/>
      <c r="E161" s="1311"/>
      <c r="F161" s="1311"/>
      <c r="G161" s="1311"/>
      <c r="H161" s="1311"/>
      <c r="I161" s="1311"/>
      <c r="J161" s="1311"/>
      <c r="K161" s="1298" t="str">
        <f>FORMULAS!AG31</f>
        <v/>
      </c>
      <c r="L161" s="1299"/>
      <c r="M161" s="1300" t="str">
        <f>FORMULAS!AF31</f>
        <v/>
      </c>
      <c r="N161" s="1301"/>
      <c r="O161" s="1301"/>
      <c r="P161" s="1302"/>
      <c r="Q161" s="1303" t="str">
        <f>FORMULAS!AE31</f>
        <v/>
      </c>
      <c r="R161" s="1304"/>
      <c r="S161" s="1304"/>
      <c r="T161" s="1305"/>
      <c r="U161" s="1308"/>
      <c r="V161" s="1308"/>
      <c r="W161" s="1308"/>
      <c r="X161" s="1308"/>
      <c r="Y161" s="1308"/>
      <c r="Z161" s="1308"/>
      <c r="AA161" s="1308"/>
      <c r="AB161" s="1308"/>
      <c r="AC161" s="1308"/>
      <c r="AD161" s="1308"/>
      <c r="AE161" s="1308"/>
      <c r="AF161" s="1308"/>
      <c r="AG161" s="1308"/>
      <c r="AH161" s="1308"/>
      <c r="AI161" s="1308"/>
      <c r="AJ161" s="1308"/>
      <c r="AK161" s="1308"/>
      <c r="AL161" s="1308"/>
      <c r="AM161" s="1308"/>
      <c r="AN161" s="1308"/>
      <c r="AO161" s="1298">
        <f>FORMULAS!AM31</f>
        <v>0</v>
      </c>
      <c r="AP161" s="1306"/>
      <c r="AQ161" s="1307"/>
      <c r="AR161" s="535"/>
    </row>
    <row r="162" spans="1:44" ht="15" customHeight="1">
      <c r="A162" s="1565" t="str">
        <f>FORMULAS!AJ32</f>
        <v/>
      </c>
      <c r="B162" s="1566"/>
      <c r="C162" s="1567"/>
      <c r="D162" s="1309" t="str">
        <f>FORMULAS!Y32</f>
        <v/>
      </c>
      <c r="E162" s="1309"/>
      <c r="F162" s="1309"/>
      <c r="G162" s="1309"/>
      <c r="H162" s="1309"/>
      <c r="I162" s="1309"/>
      <c r="J162" s="1309"/>
      <c r="K162" s="1568" t="str">
        <f>FORMULAS!Z32</f>
        <v/>
      </c>
      <c r="L162" s="1569"/>
      <c r="M162" s="1570" t="str">
        <f>FORMULAS!AA32</f>
        <v/>
      </c>
      <c r="N162" s="1571"/>
      <c r="O162" s="1571"/>
      <c r="P162" s="1572"/>
      <c r="Q162" s="1573" t="str">
        <f>FORMULAS!AB32</f>
        <v/>
      </c>
      <c r="R162" s="1574"/>
      <c r="S162" s="1574"/>
      <c r="T162" s="1575"/>
      <c r="U162" s="1308" t="str">
        <f>UPPER(IF(FORMULAS!AE32="死亡","",FORMULAS!AC32))</f>
        <v/>
      </c>
      <c r="V162" s="1308"/>
      <c r="W162" s="1308"/>
      <c r="X162" s="1308"/>
      <c r="Y162" s="1308"/>
      <c r="Z162" s="1308"/>
      <c r="AA162" s="1308"/>
      <c r="AB162" s="1308"/>
      <c r="AC162" s="1308"/>
      <c r="AD162" s="1308"/>
      <c r="AE162" s="1308"/>
      <c r="AF162" s="1308"/>
      <c r="AG162" s="1308"/>
      <c r="AH162" s="1308"/>
      <c r="AI162" s="1308"/>
      <c r="AJ162" s="1308"/>
      <c r="AK162" s="1308"/>
      <c r="AL162" s="1308"/>
      <c r="AM162" s="1308"/>
      <c r="AN162" s="1308"/>
      <c r="AO162" s="1576" t="str">
        <f>FORMULAS!AL32</f>
        <v/>
      </c>
      <c r="AP162" s="1566"/>
      <c r="AQ162" s="1577"/>
      <c r="AR162" s="535"/>
    </row>
    <row r="163" spans="1:44" ht="15" customHeight="1">
      <c r="A163" s="1295" t="str">
        <f>FORMULAS!AK32</f>
        <v/>
      </c>
      <c r="B163" s="1296"/>
      <c r="C163" s="1297"/>
      <c r="D163" s="1309"/>
      <c r="E163" s="1309"/>
      <c r="F163" s="1309"/>
      <c r="G163" s="1309"/>
      <c r="H163" s="1309"/>
      <c r="I163" s="1309"/>
      <c r="J163" s="1309"/>
      <c r="K163" s="1298" t="str">
        <f>FORMULAS!AG32</f>
        <v/>
      </c>
      <c r="L163" s="1299"/>
      <c r="M163" s="1300" t="str">
        <f>FORMULAS!AF32</f>
        <v/>
      </c>
      <c r="N163" s="1301"/>
      <c r="O163" s="1301"/>
      <c r="P163" s="1302"/>
      <c r="Q163" s="1303" t="str">
        <f>FORMULAS!AE32</f>
        <v/>
      </c>
      <c r="R163" s="1304"/>
      <c r="S163" s="1304"/>
      <c r="T163" s="1305"/>
      <c r="U163" s="1308"/>
      <c r="V163" s="1308"/>
      <c r="W163" s="1308"/>
      <c r="X163" s="1308"/>
      <c r="Y163" s="1308"/>
      <c r="Z163" s="1308"/>
      <c r="AA163" s="1308"/>
      <c r="AB163" s="1308"/>
      <c r="AC163" s="1308"/>
      <c r="AD163" s="1308"/>
      <c r="AE163" s="1308"/>
      <c r="AF163" s="1308"/>
      <c r="AG163" s="1308"/>
      <c r="AH163" s="1308"/>
      <c r="AI163" s="1308"/>
      <c r="AJ163" s="1308"/>
      <c r="AK163" s="1308"/>
      <c r="AL163" s="1308"/>
      <c r="AM163" s="1308"/>
      <c r="AN163" s="1308"/>
      <c r="AO163" s="1298">
        <f>FORMULAS!AM32</f>
        <v>0</v>
      </c>
      <c r="AP163" s="1306"/>
      <c r="AQ163" s="1307"/>
      <c r="AR163" s="535"/>
    </row>
    <row r="164" spans="1:44" ht="15" customHeight="1">
      <c r="A164" s="1565" t="str">
        <f>FORMULAS!AJ33</f>
        <v/>
      </c>
      <c r="B164" s="1566"/>
      <c r="C164" s="1567"/>
      <c r="D164" s="1309" t="str">
        <f>FORMULAS!Y33</f>
        <v/>
      </c>
      <c r="E164" s="1309"/>
      <c r="F164" s="1309"/>
      <c r="G164" s="1309"/>
      <c r="H164" s="1309"/>
      <c r="I164" s="1309"/>
      <c r="J164" s="1309"/>
      <c r="K164" s="1568" t="str">
        <f>FORMULAS!Z33</f>
        <v/>
      </c>
      <c r="L164" s="1569"/>
      <c r="M164" s="1570" t="str">
        <f>FORMULAS!AA33</f>
        <v/>
      </c>
      <c r="N164" s="1571"/>
      <c r="O164" s="1571"/>
      <c r="P164" s="1572"/>
      <c r="Q164" s="1573" t="str">
        <f>FORMULAS!AB33</f>
        <v/>
      </c>
      <c r="R164" s="1574"/>
      <c r="S164" s="1574"/>
      <c r="T164" s="1575"/>
      <c r="U164" s="1308" t="str">
        <f>UPPER(IF(FORMULAS!AE33="死亡","",FORMULAS!AC33))</f>
        <v/>
      </c>
      <c r="V164" s="1308"/>
      <c r="W164" s="1308"/>
      <c r="X164" s="1308"/>
      <c r="Y164" s="1308"/>
      <c r="Z164" s="1308"/>
      <c r="AA164" s="1308"/>
      <c r="AB164" s="1308"/>
      <c r="AC164" s="1308"/>
      <c r="AD164" s="1308"/>
      <c r="AE164" s="1308"/>
      <c r="AF164" s="1308"/>
      <c r="AG164" s="1308"/>
      <c r="AH164" s="1308"/>
      <c r="AI164" s="1308"/>
      <c r="AJ164" s="1308"/>
      <c r="AK164" s="1308"/>
      <c r="AL164" s="1308"/>
      <c r="AM164" s="1308"/>
      <c r="AN164" s="1308"/>
      <c r="AO164" s="1576" t="str">
        <f>FORMULAS!AL33</f>
        <v/>
      </c>
      <c r="AP164" s="1566"/>
      <c r="AQ164" s="1577"/>
      <c r="AR164" s="535"/>
    </row>
    <row r="165" spans="1:44" ht="15" customHeight="1">
      <c r="A165" s="1295" t="str">
        <f>FORMULAS!AK33</f>
        <v/>
      </c>
      <c r="B165" s="1296"/>
      <c r="C165" s="1297"/>
      <c r="D165" s="1309"/>
      <c r="E165" s="1309"/>
      <c r="F165" s="1309"/>
      <c r="G165" s="1309"/>
      <c r="H165" s="1309"/>
      <c r="I165" s="1309"/>
      <c r="J165" s="1309"/>
      <c r="K165" s="1298" t="str">
        <f>FORMULAS!AG33</f>
        <v/>
      </c>
      <c r="L165" s="1299"/>
      <c r="M165" s="1300" t="str">
        <f>FORMULAS!AF33</f>
        <v/>
      </c>
      <c r="N165" s="1301"/>
      <c r="O165" s="1301"/>
      <c r="P165" s="1302"/>
      <c r="Q165" s="1303" t="str">
        <f>FORMULAS!AE33</f>
        <v/>
      </c>
      <c r="R165" s="1304"/>
      <c r="S165" s="1304"/>
      <c r="T165" s="1305"/>
      <c r="U165" s="1308"/>
      <c r="V165" s="1308"/>
      <c r="W165" s="1308"/>
      <c r="X165" s="1308"/>
      <c r="Y165" s="1308"/>
      <c r="Z165" s="1308"/>
      <c r="AA165" s="1308"/>
      <c r="AB165" s="1308"/>
      <c r="AC165" s="1308"/>
      <c r="AD165" s="1308"/>
      <c r="AE165" s="1308"/>
      <c r="AF165" s="1308"/>
      <c r="AG165" s="1308"/>
      <c r="AH165" s="1308"/>
      <c r="AI165" s="1308"/>
      <c r="AJ165" s="1308"/>
      <c r="AK165" s="1308"/>
      <c r="AL165" s="1308"/>
      <c r="AM165" s="1308"/>
      <c r="AN165" s="1308"/>
      <c r="AO165" s="1298">
        <f>FORMULAS!AM33</f>
        <v>0</v>
      </c>
      <c r="AP165" s="1306"/>
      <c r="AQ165" s="1307"/>
      <c r="AR165" s="535"/>
    </row>
    <row r="166" spans="1:44" ht="15" customHeight="1">
      <c r="A166" s="1565" t="str">
        <f>FORMULAS!AJ34</f>
        <v/>
      </c>
      <c r="B166" s="1566"/>
      <c r="C166" s="1567"/>
      <c r="D166" s="1453" t="str">
        <f>FORMULAS!Y34</f>
        <v/>
      </c>
      <c r="E166" s="1453"/>
      <c r="F166" s="1453"/>
      <c r="G166" s="1453"/>
      <c r="H166" s="1453"/>
      <c r="I166" s="1453"/>
      <c r="J166" s="1453"/>
      <c r="K166" s="1568" t="str">
        <f>FORMULAS!Z34</f>
        <v/>
      </c>
      <c r="L166" s="1569"/>
      <c r="M166" s="1570" t="str">
        <f>FORMULAS!AA34</f>
        <v/>
      </c>
      <c r="N166" s="1571"/>
      <c r="O166" s="1571"/>
      <c r="P166" s="1572"/>
      <c r="Q166" s="1573" t="str">
        <f>FORMULAS!AB34</f>
        <v/>
      </c>
      <c r="R166" s="1574"/>
      <c r="S166" s="1574"/>
      <c r="T166" s="1575"/>
      <c r="U166" s="1308" t="str">
        <f>UPPER(IF(FORMULAS!AE34="死亡","",FORMULAS!AC34))</f>
        <v/>
      </c>
      <c r="V166" s="1308"/>
      <c r="W166" s="1308"/>
      <c r="X166" s="1308"/>
      <c r="Y166" s="1308"/>
      <c r="Z166" s="1308"/>
      <c r="AA166" s="1308"/>
      <c r="AB166" s="1308"/>
      <c r="AC166" s="1308"/>
      <c r="AD166" s="1308"/>
      <c r="AE166" s="1308"/>
      <c r="AF166" s="1308"/>
      <c r="AG166" s="1308"/>
      <c r="AH166" s="1308"/>
      <c r="AI166" s="1308"/>
      <c r="AJ166" s="1308"/>
      <c r="AK166" s="1308"/>
      <c r="AL166" s="1308"/>
      <c r="AM166" s="1308"/>
      <c r="AN166" s="1308"/>
      <c r="AO166" s="1576" t="str">
        <f>FORMULAS!AL34</f>
        <v/>
      </c>
      <c r="AP166" s="1566"/>
      <c r="AQ166" s="1577"/>
    </row>
    <row r="167" spans="1:44" ht="15" customHeight="1">
      <c r="A167" s="1295" t="str">
        <f>FORMULAS!AK34</f>
        <v/>
      </c>
      <c r="B167" s="1296"/>
      <c r="C167" s="1297"/>
      <c r="D167" s="1453"/>
      <c r="E167" s="1453"/>
      <c r="F167" s="1453"/>
      <c r="G167" s="1453"/>
      <c r="H167" s="1453"/>
      <c r="I167" s="1453"/>
      <c r="J167" s="1453"/>
      <c r="K167" s="1298" t="str">
        <f>FORMULAS!AG34</f>
        <v/>
      </c>
      <c r="L167" s="1299"/>
      <c r="M167" s="1300" t="str">
        <f>FORMULAS!AF34</f>
        <v/>
      </c>
      <c r="N167" s="1301"/>
      <c r="O167" s="1301"/>
      <c r="P167" s="1302"/>
      <c r="Q167" s="1303" t="str">
        <f>FORMULAS!AE34</f>
        <v/>
      </c>
      <c r="R167" s="1304"/>
      <c r="S167" s="1304"/>
      <c r="T167" s="1305"/>
      <c r="U167" s="1308"/>
      <c r="V167" s="1308"/>
      <c r="W167" s="1308"/>
      <c r="X167" s="1308"/>
      <c r="Y167" s="1308"/>
      <c r="Z167" s="1308"/>
      <c r="AA167" s="1308"/>
      <c r="AB167" s="1308"/>
      <c r="AC167" s="1308"/>
      <c r="AD167" s="1308"/>
      <c r="AE167" s="1308"/>
      <c r="AF167" s="1308"/>
      <c r="AG167" s="1308"/>
      <c r="AH167" s="1308"/>
      <c r="AI167" s="1308"/>
      <c r="AJ167" s="1308"/>
      <c r="AK167" s="1308"/>
      <c r="AL167" s="1308"/>
      <c r="AM167" s="1308"/>
      <c r="AN167" s="1308"/>
      <c r="AO167" s="1298">
        <f>FORMULAS!AM34</f>
        <v>0</v>
      </c>
      <c r="AP167" s="1306"/>
      <c r="AQ167" s="1307"/>
    </row>
    <row r="168" spans="1:44" ht="15" customHeight="1">
      <c r="A168" s="1565" t="str">
        <f>FORMULAS!AJ35</f>
        <v/>
      </c>
      <c r="B168" s="1566"/>
      <c r="C168" s="1567"/>
      <c r="D168" s="1309" t="str">
        <f>FORMULAS!Y35</f>
        <v/>
      </c>
      <c r="E168" s="1309"/>
      <c r="F168" s="1309"/>
      <c r="G168" s="1309"/>
      <c r="H168" s="1309"/>
      <c r="I168" s="1309"/>
      <c r="J168" s="1309"/>
      <c r="K168" s="1568" t="str">
        <f>FORMULAS!Z35</f>
        <v/>
      </c>
      <c r="L168" s="1569"/>
      <c r="M168" s="1570" t="str">
        <f>FORMULAS!AA35</f>
        <v/>
      </c>
      <c r="N168" s="1571"/>
      <c r="O168" s="1571"/>
      <c r="P168" s="1572"/>
      <c r="Q168" s="1573" t="str">
        <f>FORMULAS!AB35</f>
        <v/>
      </c>
      <c r="R168" s="1574"/>
      <c r="S168" s="1574"/>
      <c r="T168" s="1575"/>
      <c r="U168" s="1308" t="str">
        <f>UPPER(IF(FORMULAS!AE35="死亡","",FORMULAS!AC35))</f>
        <v/>
      </c>
      <c r="V168" s="1308"/>
      <c r="W168" s="1308"/>
      <c r="X168" s="1308"/>
      <c r="Y168" s="1308"/>
      <c r="Z168" s="1308"/>
      <c r="AA168" s="1308"/>
      <c r="AB168" s="1308"/>
      <c r="AC168" s="1308"/>
      <c r="AD168" s="1308"/>
      <c r="AE168" s="1308"/>
      <c r="AF168" s="1308"/>
      <c r="AG168" s="1308"/>
      <c r="AH168" s="1308"/>
      <c r="AI168" s="1308"/>
      <c r="AJ168" s="1308"/>
      <c r="AK168" s="1308"/>
      <c r="AL168" s="1308"/>
      <c r="AM168" s="1308"/>
      <c r="AN168" s="1308"/>
      <c r="AO168" s="1576" t="str">
        <f>FORMULAS!AL35</f>
        <v/>
      </c>
      <c r="AP168" s="1566"/>
      <c r="AQ168" s="1577"/>
    </row>
    <row r="169" spans="1:44" ht="15" customHeight="1">
      <c r="A169" s="1295" t="str">
        <f>FORMULAS!AK35</f>
        <v/>
      </c>
      <c r="B169" s="1296"/>
      <c r="C169" s="1297"/>
      <c r="D169" s="1309"/>
      <c r="E169" s="1309"/>
      <c r="F169" s="1309"/>
      <c r="G169" s="1309"/>
      <c r="H169" s="1309"/>
      <c r="I169" s="1309"/>
      <c r="J169" s="1309"/>
      <c r="K169" s="1298" t="str">
        <f>FORMULAS!AG35</f>
        <v/>
      </c>
      <c r="L169" s="1299"/>
      <c r="M169" s="1300" t="str">
        <f>FORMULAS!AF35</f>
        <v/>
      </c>
      <c r="N169" s="1301"/>
      <c r="O169" s="1301"/>
      <c r="P169" s="1302"/>
      <c r="Q169" s="1303" t="str">
        <f>FORMULAS!AE35</f>
        <v/>
      </c>
      <c r="R169" s="1304"/>
      <c r="S169" s="1304"/>
      <c r="T169" s="1305"/>
      <c r="U169" s="1308"/>
      <c r="V169" s="1308"/>
      <c r="W169" s="1308"/>
      <c r="X169" s="1308"/>
      <c r="Y169" s="1308"/>
      <c r="Z169" s="1308"/>
      <c r="AA169" s="1308"/>
      <c r="AB169" s="1308"/>
      <c r="AC169" s="1308"/>
      <c r="AD169" s="1308"/>
      <c r="AE169" s="1308"/>
      <c r="AF169" s="1308"/>
      <c r="AG169" s="1308"/>
      <c r="AH169" s="1308"/>
      <c r="AI169" s="1308"/>
      <c r="AJ169" s="1308"/>
      <c r="AK169" s="1308"/>
      <c r="AL169" s="1308"/>
      <c r="AM169" s="1308"/>
      <c r="AN169" s="1308"/>
      <c r="AO169" s="1298">
        <f>FORMULAS!AM35</f>
        <v>0</v>
      </c>
      <c r="AP169" s="1306"/>
      <c r="AQ169" s="1307"/>
    </row>
    <row r="170" spans="1:44" ht="15" customHeight="1">
      <c r="A170" s="1565" t="str">
        <f>FORMULAS!AJ36</f>
        <v/>
      </c>
      <c r="B170" s="1566"/>
      <c r="C170" s="1567"/>
      <c r="D170" s="1309" t="str">
        <f>FORMULAS!Y36</f>
        <v/>
      </c>
      <c r="E170" s="1309"/>
      <c r="F170" s="1309"/>
      <c r="G170" s="1309"/>
      <c r="H170" s="1309"/>
      <c r="I170" s="1309"/>
      <c r="J170" s="1309"/>
      <c r="K170" s="1568" t="str">
        <f>FORMULAS!Z36</f>
        <v/>
      </c>
      <c r="L170" s="1569"/>
      <c r="M170" s="1570" t="str">
        <f>FORMULAS!AA36</f>
        <v/>
      </c>
      <c r="N170" s="1571"/>
      <c r="O170" s="1571"/>
      <c r="P170" s="1572"/>
      <c r="Q170" s="1573" t="str">
        <f>FORMULAS!AB36</f>
        <v/>
      </c>
      <c r="R170" s="1574"/>
      <c r="S170" s="1574"/>
      <c r="T170" s="1575"/>
      <c r="U170" s="1308" t="str">
        <f>UPPER(IF(FORMULAS!AE36="死亡","",FORMULAS!AC36))</f>
        <v/>
      </c>
      <c r="V170" s="1308"/>
      <c r="W170" s="1308"/>
      <c r="X170" s="1308"/>
      <c r="Y170" s="1308"/>
      <c r="Z170" s="1308"/>
      <c r="AA170" s="1308"/>
      <c r="AB170" s="1308"/>
      <c r="AC170" s="1308"/>
      <c r="AD170" s="1308"/>
      <c r="AE170" s="1308"/>
      <c r="AF170" s="1308"/>
      <c r="AG170" s="1308"/>
      <c r="AH170" s="1308"/>
      <c r="AI170" s="1308"/>
      <c r="AJ170" s="1308"/>
      <c r="AK170" s="1308"/>
      <c r="AL170" s="1308"/>
      <c r="AM170" s="1308"/>
      <c r="AN170" s="1308"/>
      <c r="AO170" s="1576" t="str">
        <f>FORMULAS!AL36</f>
        <v/>
      </c>
      <c r="AP170" s="1566"/>
      <c r="AQ170" s="1577"/>
    </row>
    <row r="171" spans="1:44" ht="15" customHeight="1">
      <c r="A171" s="1295" t="str">
        <f>FORMULAS!AK36</f>
        <v/>
      </c>
      <c r="B171" s="1296"/>
      <c r="C171" s="1297"/>
      <c r="D171" s="1309"/>
      <c r="E171" s="1309"/>
      <c r="F171" s="1309"/>
      <c r="G171" s="1309"/>
      <c r="H171" s="1309"/>
      <c r="I171" s="1309"/>
      <c r="J171" s="1309"/>
      <c r="K171" s="1298" t="str">
        <f>FORMULAS!AG36</f>
        <v/>
      </c>
      <c r="L171" s="1299"/>
      <c r="M171" s="1300" t="str">
        <f>FORMULAS!AF36</f>
        <v/>
      </c>
      <c r="N171" s="1301"/>
      <c r="O171" s="1301"/>
      <c r="P171" s="1302"/>
      <c r="Q171" s="1303" t="str">
        <f>FORMULAS!AE36</f>
        <v/>
      </c>
      <c r="R171" s="1304"/>
      <c r="S171" s="1304"/>
      <c r="T171" s="1305"/>
      <c r="U171" s="1308"/>
      <c r="V171" s="1308"/>
      <c r="W171" s="1308"/>
      <c r="X171" s="1308"/>
      <c r="Y171" s="1308"/>
      <c r="Z171" s="1308"/>
      <c r="AA171" s="1308"/>
      <c r="AB171" s="1308"/>
      <c r="AC171" s="1308"/>
      <c r="AD171" s="1308"/>
      <c r="AE171" s="1308"/>
      <c r="AF171" s="1308"/>
      <c r="AG171" s="1308"/>
      <c r="AH171" s="1308"/>
      <c r="AI171" s="1308"/>
      <c r="AJ171" s="1308"/>
      <c r="AK171" s="1308"/>
      <c r="AL171" s="1308"/>
      <c r="AM171" s="1308"/>
      <c r="AN171" s="1308"/>
      <c r="AO171" s="1298">
        <f>FORMULAS!AM36</f>
        <v>0</v>
      </c>
      <c r="AP171" s="1306"/>
      <c r="AQ171" s="1307"/>
    </row>
    <row r="172" spans="1:44" ht="15" customHeight="1">
      <c r="A172" s="1565" t="str">
        <f>FORMULAS!AJ37</f>
        <v/>
      </c>
      <c r="B172" s="1566"/>
      <c r="C172" s="1567"/>
      <c r="D172" s="1309" t="str">
        <f>FORMULAS!Y37</f>
        <v/>
      </c>
      <c r="E172" s="1309"/>
      <c r="F172" s="1309"/>
      <c r="G172" s="1309"/>
      <c r="H172" s="1309"/>
      <c r="I172" s="1309"/>
      <c r="J172" s="1309"/>
      <c r="K172" s="1568" t="str">
        <f>FORMULAS!Z37</f>
        <v/>
      </c>
      <c r="L172" s="1569"/>
      <c r="M172" s="1570" t="str">
        <f>FORMULAS!AA37</f>
        <v/>
      </c>
      <c r="N172" s="1571"/>
      <c r="O172" s="1571"/>
      <c r="P172" s="1572"/>
      <c r="Q172" s="1573" t="str">
        <f>FORMULAS!AB37</f>
        <v/>
      </c>
      <c r="R172" s="1574"/>
      <c r="S172" s="1574"/>
      <c r="T172" s="1575"/>
      <c r="U172" s="1308" t="str">
        <f>UPPER(IF(FORMULAS!AE37="死亡","",FORMULAS!AC37))</f>
        <v/>
      </c>
      <c r="V172" s="1308"/>
      <c r="W172" s="1308"/>
      <c r="X172" s="1308"/>
      <c r="Y172" s="1308"/>
      <c r="Z172" s="1308"/>
      <c r="AA172" s="1308"/>
      <c r="AB172" s="1308"/>
      <c r="AC172" s="1308"/>
      <c r="AD172" s="1308"/>
      <c r="AE172" s="1308"/>
      <c r="AF172" s="1308"/>
      <c r="AG172" s="1308"/>
      <c r="AH172" s="1308"/>
      <c r="AI172" s="1308"/>
      <c r="AJ172" s="1308"/>
      <c r="AK172" s="1308"/>
      <c r="AL172" s="1308"/>
      <c r="AM172" s="1308"/>
      <c r="AN172" s="1308"/>
      <c r="AO172" s="1576" t="str">
        <f>FORMULAS!AL37</f>
        <v/>
      </c>
      <c r="AP172" s="1566"/>
      <c r="AQ172" s="1577"/>
    </row>
    <row r="173" spans="1:44" ht="15" customHeight="1">
      <c r="A173" s="1295" t="str">
        <f>FORMULAS!AK37</f>
        <v/>
      </c>
      <c r="B173" s="1296"/>
      <c r="C173" s="1297"/>
      <c r="D173" s="1309"/>
      <c r="E173" s="1309"/>
      <c r="F173" s="1309"/>
      <c r="G173" s="1309"/>
      <c r="H173" s="1309"/>
      <c r="I173" s="1309"/>
      <c r="J173" s="1309"/>
      <c r="K173" s="1298" t="str">
        <f>FORMULAS!AG37</f>
        <v/>
      </c>
      <c r="L173" s="1299"/>
      <c r="M173" s="1300" t="str">
        <f>FORMULAS!AF37</f>
        <v/>
      </c>
      <c r="N173" s="1301"/>
      <c r="O173" s="1301"/>
      <c r="P173" s="1302"/>
      <c r="Q173" s="1303" t="str">
        <f>FORMULAS!AE37</f>
        <v/>
      </c>
      <c r="R173" s="1304"/>
      <c r="S173" s="1304"/>
      <c r="T173" s="1305"/>
      <c r="U173" s="1308"/>
      <c r="V173" s="1308"/>
      <c r="W173" s="1308"/>
      <c r="X173" s="1308"/>
      <c r="Y173" s="1308"/>
      <c r="Z173" s="1308"/>
      <c r="AA173" s="1308"/>
      <c r="AB173" s="1308"/>
      <c r="AC173" s="1308"/>
      <c r="AD173" s="1308"/>
      <c r="AE173" s="1308"/>
      <c r="AF173" s="1308"/>
      <c r="AG173" s="1308"/>
      <c r="AH173" s="1308"/>
      <c r="AI173" s="1308"/>
      <c r="AJ173" s="1308"/>
      <c r="AK173" s="1308"/>
      <c r="AL173" s="1308"/>
      <c r="AM173" s="1308"/>
      <c r="AN173" s="1308"/>
      <c r="AO173" s="1298">
        <f>FORMULAS!AM37</f>
        <v>0</v>
      </c>
      <c r="AP173" s="1306"/>
      <c r="AQ173" s="1307"/>
    </row>
    <row r="174" spans="1:44" ht="15" customHeight="1">
      <c r="A174" s="1565" t="str">
        <f>FORMULAS!AJ38</f>
        <v/>
      </c>
      <c r="B174" s="1566"/>
      <c r="C174" s="1567"/>
      <c r="D174" s="1309" t="str">
        <f>FORMULAS!Y38</f>
        <v/>
      </c>
      <c r="E174" s="1309"/>
      <c r="F174" s="1309"/>
      <c r="G174" s="1309"/>
      <c r="H174" s="1309"/>
      <c r="I174" s="1309"/>
      <c r="J174" s="1309"/>
      <c r="K174" s="1568" t="str">
        <f>FORMULAS!Z38</f>
        <v/>
      </c>
      <c r="L174" s="1569"/>
      <c r="M174" s="1570" t="str">
        <f>FORMULAS!AA38</f>
        <v/>
      </c>
      <c r="N174" s="1571"/>
      <c r="O174" s="1571"/>
      <c r="P174" s="1572"/>
      <c r="Q174" s="1573" t="str">
        <f>FORMULAS!AB38</f>
        <v/>
      </c>
      <c r="R174" s="1574"/>
      <c r="S174" s="1574"/>
      <c r="T174" s="1575"/>
      <c r="U174" s="1308" t="str">
        <f>UPPER(IF(FORMULAS!AE38="死亡","",FORMULAS!AC38))</f>
        <v/>
      </c>
      <c r="V174" s="1308"/>
      <c r="W174" s="1308"/>
      <c r="X174" s="1308"/>
      <c r="Y174" s="1308"/>
      <c r="Z174" s="1308"/>
      <c r="AA174" s="1308"/>
      <c r="AB174" s="1308"/>
      <c r="AC174" s="1308"/>
      <c r="AD174" s="1308"/>
      <c r="AE174" s="1308"/>
      <c r="AF174" s="1308"/>
      <c r="AG174" s="1308"/>
      <c r="AH174" s="1308"/>
      <c r="AI174" s="1308"/>
      <c r="AJ174" s="1308"/>
      <c r="AK174" s="1308"/>
      <c r="AL174" s="1308"/>
      <c r="AM174" s="1308"/>
      <c r="AN174" s="1308"/>
      <c r="AO174" s="1576" t="str">
        <f>FORMULAS!AL38</f>
        <v/>
      </c>
      <c r="AP174" s="1566"/>
      <c r="AQ174" s="1577"/>
    </row>
    <row r="175" spans="1:44" ht="15" customHeight="1">
      <c r="A175" s="1504" t="str">
        <f>FORMULAS!AK38</f>
        <v/>
      </c>
      <c r="B175" s="1505"/>
      <c r="C175" s="1506"/>
      <c r="D175" s="1563"/>
      <c r="E175" s="1563"/>
      <c r="F175" s="1563"/>
      <c r="G175" s="1563"/>
      <c r="H175" s="1563"/>
      <c r="I175" s="1563"/>
      <c r="J175" s="1563"/>
      <c r="K175" s="1507" t="str">
        <f>FORMULAS!AG38</f>
        <v/>
      </c>
      <c r="L175" s="1508"/>
      <c r="M175" s="1509" t="str">
        <f>FORMULAS!AF38</f>
        <v/>
      </c>
      <c r="N175" s="1510"/>
      <c r="O175" s="1510"/>
      <c r="P175" s="1511"/>
      <c r="Q175" s="1558" t="str">
        <f>FORMULAS!AE38</f>
        <v/>
      </c>
      <c r="R175" s="1559"/>
      <c r="S175" s="1559"/>
      <c r="T175" s="1560"/>
      <c r="U175" s="1564"/>
      <c r="V175" s="1564"/>
      <c r="W175" s="1564"/>
      <c r="X175" s="1564"/>
      <c r="Y175" s="1564"/>
      <c r="Z175" s="1564"/>
      <c r="AA175" s="1564"/>
      <c r="AB175" s="1564"/>
      <c r="AC175" s="1564"/>
      <c r="AD175" s="1564"/>
      <c r="AE175" s="1564"/>
      <c r="AF175" s="1564"/>
      <c r="AG175" s="1564"/>
      <c r="AH175" s="1564"/>
      <c r="AI175" s="1564"/>
      <c r="AJ175" s="1564"/>
      <c r="AK175" s="1564"/>
      <c r="AL175" s="1564"/>
      <c r="AM175" s="1564"/>
      <c r="AN175" s="1564"/>
      <c r="AO175" s="1507">
        <f>FORMULAS!AM38</f>
        <v>0</v>
      </c>
      <c r="AP175" s="1561"/>
      <c r="AQ175" s="1562"/>
    </row>
    <row r="176" spans="1:44" ht="15" customHeight="1">
      <c r="A176" s="1343"/>
      <c r="B176" s="1343"/>
      <c r="C176" s="1343"/>
      <c r="D176" s="1343"/>
      <c r="E176" s="1343"/>
      <c r="F176" s="1343"/>
      <c r="G176" s="1343"/>
      <c r="H176" s="1343"/>
      <c r="I176" s="1343"/>
      <c r="J176" s="1343"/>
      <c r="K176" s="1343"/>
      <c r="L176" s="1343"/>
      <c r="M176" s="1343"/>
      <c r="N176" s="1343"/>
      <c r="O176" s="1343"/>
      <c r="P176" s="1343"/>
      <c r="Q176" s="1343"/>
      <c r="R176" s="1343"/>
      <c r="S176" s="1343"/>
      <c r="T176" s="1343"/>
      <c r="U176" s="1343"/>
      <c r="V176" s="1343"/>
      <c r="W176" s="1343"/>
      <c r="X176" s="1343"/>
      <c r="Y176" s="1343"/>
      <c r="Z176" s="1343"/>
      <c r="AA176" s="1343"/>
      <c r="AB176" s="1343"/>
      <c r="AC176" s="1343"/>
      <c r="AD176" s="1343"/>
      <c r="AE176" s="1343"/>
      <c r="AF176" s="1343"/>
      <c r="AG176" s="1343"/>
      <c r="AH176" s="1343"/>
      <c r="AI176" s="1343"/>
      <c r="AJ176" s="1343"/>
      <c r="AK176" s="1343"/>
      <c r="AL176" s="1343"/>
      <c r="AM176" s="1343"/>
      <c r="AN176" s="1343"/>
      <c r="AO176" s="1343"/>
      <c r="AP176" s="1343"/>
      <c r="AQ176" s="1343"/>
    </row>
    <row r="177" spans="1:44" ht="15" customHeight="1">
      <c r="A177" s="1266" t="str">
        <f>"以上の記載内容は事実であり、私"&amp;F4&amp;"が作成したものです。"</f>
        <v>以上の記載内容は事実であり、私が作成したものです。</v>
      </c>
      <c r="B177" s="1266"/>
      <c r="C177" s="1266"/>
      <c r="D177" s="1266"/>
      <c r="E177" s="1266"/>
      <c r="F177" s="1266"/>
      <c r="G177" s="1266"/>
      <c r="H177" s="1266"/>
      <c r="I177" s="1266"/>
      <c r="J177" s="1266"/>
      <c r="K177" s="1266"/>
      <c r="L177" s="1266"/>
      <c r="M177" s="1266"/>
      <c r="N177" s="1266"/>
      <c r="O177" s="1266"/>
      <c r="P177" s="1266"/>
      <c r="Q177" s="1266"/>
      <c r="R177" s="1266"/>
      <c r="S177" s="1266"/>
      <c r="T177" s="1266"/>
      <c r="U177" s="1266"/>
      <c r="V177" s="1266"/>
      <c r="W177" s="1266"/>
      <c r="X177" s="1266"/>
      <c r="Y177" s="1266"/>
      <c r="Z177" s="1266"/>
      <c r="AA177" s="1266"/>
      <c r="AB177" s="1266"/>
      <c r="AC177" s="1266"/>
      <c r="AD177" s="1266"/>
      <c r="AE177" s="1266"/>
      <c r="AF177" s="1266"/>
      <c r="AG177" s="1266"/>
      <c r="AH177" s="1266"/>
      <c r="AI177" s="1266"/>
      <c r="AJ177" s="1266"/>
      <c r="AK177" s="1266"/>
      <c r="AL177" s="1266"/>
      <c r="AM177" s="1266"/>
      <c r="AN177" s="1266"/>
      <c r="AO177" s="1266"/>
      <c r="AP177" s="1266"/>
      <c r="AQ177" s="1266"/>
    </row>
    <row r="178" spans="1:44" ht="15" customHeight="1">
      <c r="A178" s="1537" t="str">
        <f>IF(APNATION="","",VLOOKUP(APNATION,RESUMEINFO,13,0))</f>
        <v>The above contents and information I,  have written by myself only.</v>
      </c>
      <c r="B178" s="1537"/>
      <c r="C178" s="1537"/>
      <c r="D178" s="1537"/>
      <c r="E178" s="1537"/>
      <c r="F178" s="1537"/>
      <c r="G178" s="1537"/>
      <c r="H178" s="1537"/>
      <c r="I178" s="1537"/>
      <c r="J178" s="1537"/>
      <c r="K178" s="1537"/>
      <c r="L178" s="1537"/>
      <c r="M178" s="1537"/>
      <c r="N178" s="1537"/>
      <c r="O178" s="1537"/>
      <c r="P178" s="1537"/>
      <c r="Q178" s="1537"/>
      <c r="R178" s="1537"/>
      <c r="S178" s="1537"/>
      <c r="T178" s="1537"/>
      <c r="U178" s="1537"/>
      <c r="V178" s="1537"/>
      <c r="W178" s="1537"/>
      <c r="X178" s="1537"/>
      <c r="Y178" s="1537"/>
      <c r="Z178" s="1537"/>
      <c r="AA178" s="1537"/>
      <c r="AB178" s="1537"/>
      <c r="AC178" s="1537"/>
      <c r="AD178" s="1537"/>
      <c r="AE178" s="1537"/>
      <c r="AF178" s="1537"/>
      <c r="AG178" s="1537"/>
      <c r="AH178" s="1537"/>
      <c r="AI178" s="1537"/>
      <c r="AJ178" s="1537"/>
      <c r="AK178" s="1537"/>
      <c r="AL178" s="1537"/>
      <c r="AM178" s="1537"/>
      <c r="AN178" s="1537"/>
      <c r="AO178" s="1537"/>
      <c r="AP178" s="1537"/>
      <c r="AQ178" s="1537"/>
    </row>
    <row r="179" spans="1:44" ht="15" customHeight="1">
      <c r="A179" s="541"/>
      <c r="B179" s="1503" t="str">
        <f>IF(APNATION="","",VLOOKUP(APNATION,FORMINFO,82,0))&amp;" 　"</f>
        <v>Creation Date 　</v>
      </c>
      <c r="C179" s="1503"/>
      <c r="D179" s="1503"/>
      <c r="E179" s="1503"/>
      <c r="F179" s="1503"/>
      <c r="G179" s="1503"/>
      <c r="H179" s="1555">
        <f>Information!Q2</f>
        <v>45537</v>
      </c>
      <c r="I179" s="1555"/>
      <c r="J179" s="1555"/>
      <c r="K179" s="1555"/>
      <c r="L179" s="1555"/>
      <c r="M179" s="1555"/>
      <c r="N179" s="1555"/>
      <c r="O179" s="541"/>
      <c r="P179" s="541"/>
      <c r="Q179" s="541"/>
      <c r="R179" s="1503" t="str">
        <f>IF(APNATION="","",VLOOKUP(APNATION,FORMINFO,79,0))&amp;" 　"</f>
        <v>Signed 　</v>
      </c>
      <c r="S179" s="1503"/>
      <c r="T179" s="1503"/>
      <c r="U179" s="1503"/>
      <c r="V179" s="1503"/>
      <c r="W179" s="1503"/>
      <c r="X179" s="1556"/>
      <c r="Y179" s="1556"/>
      <c r="Z179" s="1556"/>
      <c r="AA179" s="1556"/>
      <c r="AB179" s="1556"/>
      <c r="AC179" s="1556"/>
      <c r="AD179" s="1556"/>
      <c r="AE179" s="1556"/>
      <c r="AF179" s="1556"/>
      <c r="AG179" s="1556"/>
      <c r="AH179" s="1556"/>
      <c r="AI179" s="1556"/>
      <c r="AJ179" s="1556"/>
      <c r="AK179" s="1556"/>
      <c r="AL179" s="1556"/>
      <c r="AM179" s="1556"/>
      <c r="AN179" s="1556"/>
      <c r="AO179" s="1556"/>
      <c r="AP179" s="1556"/>
      <c r="AQ179" s="1556"/>
    </row>
    <row r="180" spans="1:44" ht="15" customHeight="1">
      <c r="A180" s="540"/>
      <c r="B180" s="1503" t="s">
        <v>96</v>
      </c>
      <c r="C180" s="1503"/>
      <c r="D180" s="1503"/>
      <c r="E180" s="1503"/>
      <c r="F180" s="1503"/>
      <c r="G180" s="1503"/>
      <c r="H180" s="1262"/>
      <c r="I180" s="1262"/>
      <c r="J180" s="1262"/>
      <c r="K180" s="1262"/>
      <c r="L180" s="1262"/>
      <c r="M180" s="1262"/>
      <c r="N180" s="1262"/>
      <c r="O180" s="562"/>
      <c r="P180" s="562"/>
      <c r="Q180" s="541"/>
      <c r="R180" s="1503" t="s">
        <v>97</v>
      </c>
      <c r="S180" s="1503"/>
      <c r="T180" s="1503"/>
      <c r="U180" s="1503"/>
      <c r="V180" s="1503"/>
      <c r="W180" s="1503"/>
      <c r="X180" s="1557"/>
      <c r="Y180" s="1557"/>
      <c r="Z180" s="1557"/>
      <c r="AA180" s="1557"/>
      <c r="AB180" s="1557"/>
      <c r="AC180" s="1557"/>
      <c r="AD180" s="1557"/>
      <c r="AE180" s="1557"/>
      <c r="AF180" s="1557"/>
      <c r="AG180" s="1557"/>
      <c r="AH180" s="1557"/>
      <c r="AI180" s="1557"/>
      <c r="AJ180" s="1557"/>
      <c r="AK180" s="1557"/>
      <c r="AL180" s="1557"/>
      <c r="AM180" s="1557"/>
      <c r="AN180" s="1557"/>
      <c r="AO180" s="1557"/>
      <c r="AP180" s="1557"/>
      <c r="AQ180" s="1557"/>
    </row>
    <row r="181" spans="1:44" ht="15" customHeight="1">
      <c r="A181" s="1343"/>
      <c r="B181" s="1343"/>
      <c r="C181" s="1343"/>
      <c r="D181" s="1343"/>
      <c r="E181" s="1343"/>
      <c r="F181" s="1343"/>
      <c r="G181" s="1343"/>
      <c r="H181" s="1343"/>
      <c r="I181" s="1343"/>
      <c r="J181" s="1343"/>
      <c r="K181" s="1343"/>
      <c r="L181" s="1343"/>
      <c r="M181" s="1343"/>
      <c r="N181" s="1343"/>
      <c r="O181" s="1343"/>
      <c r="P181" s="1343"/>
      <c r="Q181" s="1343"/>
      <c r="R181" s="1343"/>
      <c r="S181" s="1343"/>
      <c r="T181" s="1343"/>
      <c r="U181" s="1343"/>
      <c r="V181" s="1343"/>
      <c r="W181" s="1343"/>
      <c r="X181" s="1343"/>
      <c r="Y181" s="1343"/>
      <c r="Z181" s="1343"/>
      <c r="AA181" s="1343"/>
      <c r="AB181" s="1343"/>
      <c r="AC181" s="1343"/>
      <c r="AD181" s="1343"/>
      <c r="AE181" s="1343"/>
      <c r="AF181" s="1343"/>
      <c r="AG181" s="1343"/>
      <c r="AH181" s="1343"/>
      <c r="AI181" s="1343"/>
      <c r="AJ181" s="1343"/>
      <c r="AK181" s="1343"/>
      <c r="AL181" s="1343"/>
      <c r="AM181" s="1343"/>
      <c r="AN181" s="1343"/>
      <c r="AO181" s="1343"/>
      <c r="AP181" s="1343"/>
      <c r="AQ181" s="1343"/>
    </row>
    <row r="182" spans="1:44" ht="15" customHeight="1">
      <c r="A182" s="537"/>
      <c r="B182" s="1266" t="str">
        <f>SCHOOLNAME</f>
        <v>進和外語アカデミー</v>
      </c>
      <c r="C182" s="1266"/>
      <c r="D182" s="1266"/>
      <c r="E182" s="1266"/>
      <c r="F182" s="1266"/>
      <c r="G182" s="1266"/>
      <c r="H182" s="1266"/>
      <c r="I182" s="1266"/>
      <c r="J182" s="1266"/>
      <c r="K182" s="1266"/>
      <c r="L182" s="1266"/>
      <c r="M182" s="1266"/>
      <c r="N182" s="1266"/>
      <c r="O182" s="1266"/>
      <c r="P182" s="538"/>
      <c r="Q182" s="538"/>
      <c r="R182" s="538"/>
      <c r="S182" s="538"/>
      <c r="T182" s="538"/>
      <c r="U182" s="538"/>
      <c r="V182" s="541"/>
      <c r="W182" s="541"/>
      <c r="X182" s="541"/>
      <c r="Y182" s="541"/>
      <c r="Z182" s="541"/>
      <c r="AA182" s="541"/>
      <c r="AB182" s="541"/>
      <c r="AC182" s="541"/>
      <c r="AD182" s="563"/>
      <c r="AE182" s="537"/>
      <c r="AF182" s="563"/>
      <c r="AG182" s="563"/>
      <c r="AH182" s="541"/>
      <c r="AI182" s="541"/>
      <c r="AJ182" s="541"/>
      <c r="AK182" s="541"/>
      <c r="AL182" s="541"/>
      <c r="AM182" s="541"/>
      <c r="AN182" s="541"/>
      <c r="AO182" s="541"/>
      <c r="AP182" s="541"/>
      <c r="AQ182" s="541"/>
    </row>
    <row r="183" spans="1:44" ht="15" customHeight="1">
      <c r="A183" s="537"/>
      <c r="B183" s="821" t="str">
        <f>SCHOOLNAMEEN</f>
        <v>Shinwa Foreign Language Academy</v>
      </c>
      <c r="C183" s="821"/>
      <c r="D183" s="821"/>
      <c r="E183" s="821"/>
      <c r="F183" s="821"/>
      <c r="G183" s="821"/>
      <c r="H183" s="821"/>
      <c r="I183" s="821"/>
      <c r="J183" s="821"/>
      <c r="K183" s="821"/>
      <c r="L183" s="821"/>
      <c r="M183" s="821"/>
      <c r="N183" s="821"/>
      <c r="O183" s="821"/>
      <c r="P183" s="538"/>
      <c r="Q183" s="538"/>
      <c r="R183" s="538"/>
      <c r="S183" s="538"/>
      <c r="T183" s="538"/>
      <c r="U183" s="538"/>
      <c r="V183" s="541"/>
      <c r="W183" s="541"/>
      <c r="X183" s="537"/>
      <c r="Y183" s="541"/>
      <c r="Z183" s="541"/>
      <c r="AA183" s="537"/>
      <c r="AB183" s="541"/>
      <c r="AC183" s="541"/>
      <c r="AD183" s="554"/>
      <c r="AE183" s="537"/>
      <c r="AF183" s="562"/>
      <c r="AG183" s="562"/>
      <c r="AH183" s="541"/>
      <c r="AI183" s="541"/>
      <c r="AJ183" s="541"/>
      <c r="AK183" s="541"/>
      <c r="AL183" s="541"/>
      <c r="AM183" s="541"/>
      <c r="AN183" s="541"/>
      <c r="AO183" s="541"/>
      <c r="AP183" s="541"/>
      <c r="AQ183" s="541"/>
      <c r="AR183" s="576"/>
    </row>
    <row r="184" spans="1:44" ht="15" customHeight="1">
      <c r="A184" s="540"/>
      <c r="B184" s="823" t="str">
        <f>SCHOOLADDRESS</f>
        <v>〒169-0075 東京都新宿区高田馬場 2-14-30</v>
      </c>
      <c r="C184" s="823"/>
      <c r="D184" s="823"/>
      <c r="E184" s="823"/>
      <c r="F184" s="823"/>
      <c r="G184" s="823"/>
      <c r="H184" s="823"/>
      <c r="I184" s="823"/>
      <c r="J184" s="823"/>
      <c r="K184" s="823"/>
      <c r="L184" s="823"/>
      <c r="M184" s="823"/>
      <c r="N184" s="823"/>
      <c r="O184" s="823"/>
      <c r="P184" s="541"/>
      <c r="Q184" s="541"/>
      <c r="R184" s="541"/>
      <c r="S184" s="541"/>
      <c r="T184" s="541"/>
      <c r="U184" s="541"/>
      <c r="V184" s="541"/>
      <c r="W184" s="541"/>
      <c r="X184" s="537"/>
      <c r="Y184" s="541"/>
      <c r="Z184" s="541"/>
      <c r="AA184" s="537"/>
      <c r="AB184" s="540"/>
      <c r="AC184" s="541"/>
      <c r="AD184" s="540"/>
      <c r="AE184" s="540"/>
      <c r="AF184" s="540"/>
      <c r="AG184" s="540"/>
      <c r="AH184" s="540"/>
      <c r="AI184" s="540"/>
      <c r="AJ184" s="540"/>
      <c r="AK184" s="540"/>
      <c r="AL184" s="540"/>
      <c r="AM184" s="540"/>
      <c r="AN184" s="540"/>
      <c r="AO184" s="540"/>
      <c r="AP184" s="541"/>
      <c r="AQ184" s="541"/>
      <c r="AR184" s="576"/>
    </row>
    <row r="185" spans="1:44" ht="15" customHeight="1">
      <c r="A185" s="540"/>
      <c r="B185" s="824" t="str">
        <f>SCHOOLPHONE</f>
        <v>TEL: 03-6233-8175　　　FAX: 03-6233-8176</v>
      </c>
      <c r="C185" s="824"/>
      <c r="D185" s="824"/>
      <c r="E185" s="824"/>
      <c r="F185" s="824"/>
      <c r="G185" s="824"/>
      <c r="H185" s="824"/>
      <c r="I185" s="824"/>
      <c r="J185" s="824"/>
      <c r="K185" s="824"/>
      <c r="L185" s="824"/>
      <c r="M185" s="824"/>
      <c r="N185" s="824"/>
      <c r="O185" s="824"/>
      <c r="P185" s="540"/>
      <c r="Q185" s="540"/>
      <c r="R185" s="540"/>
      <c r="S185" s="540"/>
      <c r="T185" s="540"/>
      <c r="U185" s="540"/>
      <c r="V185" s="540"/>
      <c r="W185" s="540"/>
      <c r="X185" s="540"/>
      <c r="Y185" s="540"/>
      <c r="Z185" s="540"/>
      <c r="AA185" s="540"/>
      <c r="AB185" s="540"/>
      <c r="AC185" s="540"/>
      <c r="AD185" s="540"/>
      <c r="AE185" s="540"/>
      <c r="AF185" s="540"/>
      <c r="AG185" s="540"/>
      <c r="AH185" s="540"/>
      <c r="AI185" s="540"/>
      <c r="AJ185" s="540"/>
      <c r="AK185" s="540"/>
      <c r="AL185" s="540"/>
      <c r="AM185" s="540"/>
      <c r="AN185" s="540"/>
      <c r="AO185" s="540"/>
      <c r="AP185" s="540"/>
      <c r="AQ185" s="540"/>
      <c r="AR185" s="576"/>
    </row>
    <row r="186" spans="1:44" ht="15" customHeight="1">
      <c r="A186" s="1260" t="s">
        <v>98</v>
      </c>
      <c r="B186" s="1260"/>
      <c r="C186" s="1260"/>
      <c r="D186" s="1260"/>
      <c r="E186" s="1260"/>
      <c r="F186" s="1260"/>
      <c r="G186" s="1260"/>
      <c r="H186" s="1260"/>
      <c r="I186" s="1260"/>
      <c r="J186" s="1260"/>
      <c r="K186" s="1260"/>
      <c r="L186" s="1260"/>
      <c r="M186" s="1260"/>
      <c r="N186" s="1260"/>
      <c r="O186" s="1260"/>
      <c r="P186" s="1260"/>
      <c r="Q186" s="1260"/>
      <c r="R186" s="1260"/>
      <c r="S186" s="1260"/>
      <c r="T186" s="1260"/>
      <c r="U186" s="1260"/>
      <c r="V186" s="1260"/>
      <c r="W186" s="1260"/>
      <c r="X186" s="1260"/>
      <c r="Y186" s="1260"/>
      <c r="Z186" s="1260"/>
      <c r="AA186" s="1260"/>
      <c r="AB186" s="1260"/>
      <c r="AC186" s="1260"/>
      <c r="AD186" s="1260"/>
      <c r="AE186" s="1260"/>
      <c r="AF186" s="1260"/>
      <c r="AG186" s="1260"/>
      <c r="AH186" s="1260"/>
      <c r="AI186" s="1260"/>
      <c r="AJ186" s="1260"/>
      <c r="AK186" s="1260"/>
      <c r="AL186" s="1260"/>
      <c r="AM186" s="1260"/>
      <c r="AN186" s="1260"/>
      <c r="AO186" s="1260"/>
      <c r="AP186" s="1260"/>
      <c r="AQ186" s="1260"/>
      <c r="AR186" s="67"/>
    </row>
    <row r="187" spans="1:44" ht="15" customHeight="1">
      <c r="A187" s="1260"/>
      <c r="B187" s="1260"/>
      <c r="C187" s="1260"/>
      <c r="D187" s="1260"/>
      <c r="E187" s="1260"/>
      <c r="F187" s="1260"/>
      <c r="G187" s="1260"/>
      <c r="H187" s="1260"/>
      <c r="I187" s="1260"/>
      <c r="J187" s="1260"/>
      <c r="K187" s="1260"/>
      <c r="L187" s="1260"/>
      <c r="M187" s="1260"/>
      <c r="N187" s="1260"/>
      <c r="O187" s="1260"/>
      <c r="P187" s="1260"/>
      <c r="Q187" s="1260"/>
      <c r="R187" s="1260"/>
      <c r="S187" s="1260"/>
      <c r="T187" s="1260"/>
      <c r="U187" s="1260"/>
      <c r="V187" s="1260"/>
      <c r="W187" s="1260"/>
      <c r="X187" s="1260"/>
      <c r="Y187" s="1260"/>
      <c r="Z187" s="1260"/>
      <c r="AA187" s="1260"/>
      <c r="AB187" s="1260"/>
      <c r="AC187" s="1260"/>
      <c r="AD187" s="1260"/>
      <c r="AE187" s="1260"/>
      <c r="AF187" s="1260"/>
      <c r="AG187" s="1260"/>
      <c r="AH187" s="1260"/>
      <c r="AI187" s="1260"/>
      <c r="AJ187" s="1260"/>
      <c r="AK187" s="1260"/>
      <c r="AL187" s="1260"/>
      <c r="AM187" s="1260"/>
      <c r="AN187" s="1260"/>
      <c r="AO187" s="1260"/>
      <c r="AP187" s="1260"/>
      <c r="AQ187" s="1260"/>
      <c r="AR187" s="535"/>
    </row>
    <row r="188" spans="1:44" ht="15" customHeight="1">
      <c r="A188" s="1554" t="str">
        <f>IF(APNATION="","",VLOOKUP(APNATION,EXPENSEINFO,5,0))</f>
        <v>(Letter of Financial Sponsorship)</v>
      </c>
      <c r="B188" s="1554"/>
      <c r="C188" s="1554"/>
      <c r="D188" s="1554"/>
      <c r="E188" s="1554"/>
      <c r="F188" s="1554"/>
      <c r="G188" s="1554"/>
      <c r="H188" s="1554"/>
      <c r="I188" s="1554"/>
      <c r="J188" s="1554"/>
      <c r="K188" s="1554"/>
      <c r="L188" s="1554"/>
      <c r="M188" s="1554"/>
      <c r="N188" s="1554"/>
      <c r="O188" s="1554"/>
      <c r="P188" s="1554"/>
      <c r="Q188" s="1554"/>
      <c r="R188" s="1554"/>
      <c r="S188" s="1554"/>
      <c r="T188" s="1554"/>
      <c r="U188" s="1554"/>
      <c r="V188" s="1554"/>
      <c r="W188" s="1554"/>
      <c r="X188" s="1554"/>
      <c r="Y188" s="1554"/>
      <c r="Z188" s="1554"/>
      <c r="AA188" s="1554"/>
      <c r="AB188" s="1554"/>
      <c r="AC188" s="1554"/>
      <c r="AD188" s="1554"/>
      <c r="AE188" s="1554"/>
      <c r="AF188" s="1554"/>
      <c r="AG188" s="1554"/>
      <c r="AH188" s="1554"/>
      <c r="AI188" s="1554"/>
      <c r="AJ188" s="1554"/>
      <c r="AK188" s="1554"/>
      <c r="AL188" s="1554"/>
      <c r="AM188" s="1554"/>
      <c r="AN188" s="1554"/>
      <c r="AO188" s="1554"/>
      <c r="AP188" s="1554"/>
      <c r="AQ188" s="1554"/>
      <c r="AR188" s="577"/>
    </row>
    <row r="189" spans="1:44" ht="15" customHeight="1">
      <c r="A189" s="1537" t="s">
        <v>99</v>
      </c>
      <c r="B189" s="1537"/>
      <c r="C189" s="1537"/>
      <c r="D189" s="1537"/>
      <c r="E189" s="1537"/>
      <c r="F189" s="1537"/>
      <c r="G189" s="1537"/>
      <c r="H189" s="1537"/>
      <c r="I189" s="1537"/>
      <c r="J189" s="1537"/>
      <c r="K189" s="1537"/>
      <c r="L189" s="1537"/>
      <c r="M189" s="1537"/>
      <c r="N189" s="1537"/>
      <c r="O189" s="1537"/>
      <c r="P189" s="1537"/>
      <c r="Q189" s="1537"/>
      <c r="R189" s="1537"/>
      <c r="S189" s="1537"/>
      <c r="T189" s="1537"/>
      <c r="U189" s="1537"/>
      <c r="V189" s="1537"/>
      <c r="W189" s="1537"/>
      <c r="X189" s="1537"/>
      <c r="Y189" s="1537"/>
      <c r="Z189" s="1537"/>
      <c r="AA189" s="1537"/>
      <c r="AB189" s="1537"/>
      <c r="AC189" s="1537"/>
      <c r="AD189" s="1537"/>
      <c r="AE189" s="1537"/>
      <c r="AF189" s="1537"/>
      <c r="AG189" s="1537"/>
      <c r="AH189" s="1537"/>
      <c r="AI189" s="1537"/>
      <c r="AJ189" s="1537"/>
      <c r="AK189" s="1537"/>
      <c r="AL189" s="1537"/>
      <c r="AM189" s="1537"/>
      <c r="AN189" s="1537"/>
      <c r="AO189" s="1537"/>
      <c r="AP189" s="1537"/>
      <c r="AQ189" s="1537"/>
      <c r="AR189" s="578"/>
    </row>
    <row r="190" spans="1:44" ht="15" customHeight="1">
      <c r="A190" s="1537" t="str">
        <f>IF(APNATION="","",VLOOKUP(APNATION,EXPENSEINFO,4,0))</f>
        <v>(To The Ministry of Justice Japan)</v>
      </c>
      <c r="B190" s="1537"/>
      <c r="C190" s="1537"/>
      <c r="D190" s="1537"/>
      <c r="E190" s="1537"/>
      <c r="F190" s="1537"/>
      <c r="G190" s="1537"/>
      <c r="H190" s="1537"/>
      <c r="I190" s="1537"/>
      <c r="J190" s="1537"/>
      <c r="K190" s="1537"/>
      <c r="L190" s="1537"/>
      <c r="M190" s="1537"/>
      <c r="N190" s="1537"/>
      <c r="O190" s="1537"/>
      <c r="P190" s="1537"/>
      <c r="Q190" s="1537"/>
      <c r="R190" s="1537"/>
      <c r="S190" s="1537"/>
      <c r="T190" s="1537"/>
      <c r="U190" s="1537"/>
      <c r="V190" s="1537"/>
      <c r="W190" s="1537"/>
      <c r="X190" s="1537"/>
      <c r="Y190" s="1537"/>
      <c r="Z190" s="1537"/>
      <c r="AA190" s="1537"/>
      <c r="AB190" s="1537"/>
      <c r="AC190" s="1537"/>
      <c r="AD190" s="1537"/>
      <c r="AE190" s="1537"/>
      <c r="AF190" s="1537"/>
      <c r="AG190" s="1537"/>
      <c r="AH190" s="1537"/>
      <c r="AI190" s="1537"/>
      <c r="AJ190" s="1537"/>
      <c r="AK190" s="1537"/>
      <c r="AL190" s="1537"/>
      <c r="AM190" s="1537"/>
      <c r="AN190" s="1537"/>
      <c r="AO190" s="1537"/>
      <c r="AP190" s="1537"/>
      <c r="AQ190" s="1537"/>
      <c r="AR190" s="535"/>
    </row>
    <row r="191" spans="1:44" ht="15" customHeight="1">
      <c r="A191" s="1246"/>
      <c r="B191" s="1246"/>
      <c r="C191" s="1246"/>
      <c r="D191" s="1246"/>
      <c r="E191" s="1246"/>
      <c r="F191" s="1246"/>
      <c r="G191" s="1246"/>
      <c r="H191" s="1246"/>
      <c r="I191" s="1246"/>
      <c r="J191" s="1246"/>
      <c r="K191" s="1246"/>
      <c r="L191" s="1246"/>
      <c r="M191" s="1246"/>
      <c r="N191" s="1246"/>
      <c r="O191" s="1246"/>
      <c r="P191" s="1246"/>
      <c r="Q191" s="1246"/>
      <c r="R191" s="1246"/>
      <c r="S191" s="1246"/>
      <c r="T191" s="1246"/>
      <c r="U191" s="1246"/>
      <c r="V191" s="1246"/>
      <c r="W191" s="1246"/>
      <c r="X191" s="1246"/>
      <c r="Y191" s="1246"/>
      <c r="Z191" s="1246"/>
      <c r="AA191" s="1246"/>
      <c r="AB191" s="1246"/>
      <c r="AC191" s="1246"/>
      <c r="AD191" s="1246"/>
      <c r="AE191" s="1246"/>
      <c r="AF191" s="1246"/>
      <c r="AG191" s="1246"/>
      <c r="AH191" s="1246"/>
      <c r="AI191" s="1246"/>
      <c r="AJ191" s="1246"/>
      <c r="AK191" s="1246"/>
      <c r="AL191" s="1246"/>
      <c r="AM191" s="1246"/>
      <c r="AN191" s="1246"/>
      <c r="AO191" s="1246"/>
      <c r="AP191" s="1246"/>
      <c r="AQ191" s="1246"/>
      <c r="AR191" s="535"/>
    </row>
    <row r="192" spans="1:44" ht="15" customHeight="1">
      <c r="A192" s="1538" t="str">
        <f>IF(APNATION="","",VLOOKUP(APNATION,FORMINFO,5,0))</f>
        <v>Nationality</v>
      </c>
      <c r="B192" s="1340"/>
      <c r="C192" s="1340"/>
      <c r="D192" s="1539"/>
      <c r="E192" s="1282" t="str">
        <f>UPPER(F72)</f>
        <v/>
      </c>
      <c r="F192" s="1283"/>
      <c r="G192" s="1283"/>
      <c r="H192" s="1283"/>
      <c r="I192" s="1283"/>
      <c r="J192" s="1283"/>
      <c r="K192" s="1283"/>
      <c r="L192" s="1283"/>
      <c r="M192" s="1283"/>
      <c r="N192" s="1283"/>
      <c r="O192" s="1283"/>
      <c r="P192" s="1283"/>
      <c r="Q192" s="1283"/>
      <c r="R192" s="1283"/>
      <c r="S192" s="1284"/>
      <c r="T192" s="1540" t="str">
        <f>IF(APNATION="","",VLOOKUP(APNATION,NAMETR,2,0))</f>
        <v>Full Name</v>
      </c>
      <c r="U192" s="1340"/>
      <c r="V192" s="1340"/>
      <c r="W192" s="1539"/>
      <c r="X192" s="1282" t="str">
        <f>UPPER(IF(ISBLANK(Information!$F$4),Information!$F$5,Information!$F$4))</f>
        <v/>
      </c>
      <c r="Y192" s="1283"/>
      <c r="Z192" s="1283"/>
      <c r="AA192" s="1283"/>
      <c r="AB192" s="1283"/>
      <c r="AC192" s="1283"/>
      <c r="AD192" s="1283"/>
      <c r="AE192" s="1283"/>
      <c r="AF192" s="1283"/>
      <c r="AG192" s="1283"/>
      <c r="AH192" s="1283"/>
      <c r="AI192" s="1283"/>
      <c r="AJ192" s="1283"/>
      <c r="AK192" s="1283"/>
      <c r="AL192" s="1283"/>
      <c r="AM192" s="1283"/>
      <c r="AN192" s="1283"/>
      <c r="AO192" s="1283"/>
      <c r="AP192" s="1283"/>
      <c r="AQ192" s="1288"/>
      <c r="AR192" s="535"/>
    </row>
    <row r="193" spans="1:44" ht="15" customHeight="1">
      <c r="A193" s="1541" t="s">
        <v>30</v>
      </c>
      <c r="B193" s="1542"/>
      <c r="C193" s="1542"/>
      <c r="D193" s="1543"/>
      <c r="E193" s="1285"/>
      <c r="F193" s="1286"/>
      <c r="G193" s="1286"/>
      <c r="H193" s="1286"/>
      <c r="I193" s="1286"/>
      <c r="J193" s="1286"/>
      <c r="K193" s="1286"/>
      <c r="L193" s="1286"/>
      <c r="M193" s="1286"/>
      <c r="N193" s="1286"/>
      <c r="O193" s="1286"/>
      <c r="P193" s="1286"/>
      <c r="Q193" s="1286"/>
      <c r="R193" s="1286"/>
      <c r="S193" s="1287"/>
      <c r="T193" s="1544" t="s">
        <v>100</v>
      </c>
      <c r="U193" s="1545"/>
      <c r="V193" s="1545"/>
      <c r="W193" s="1546"/>
      <c r="X193" s="1285"/>
      <c r="Y193" s="1286"/>
      <c r="Z193" s="1286"/>
      <c r="AA193" s="1286"/>
      <c r="AB193" s="1286"/>
      <c r="AC193" s="1286"/>
      <c r="AD193" s="1286"/>
      <c r="AE193" s="1286"/>
      <c r="AF193" s="1286"/>
      <c r="AG193" s="1286"/>
      <c r="AH193" s="1286"/>
      <c r="AI193" s="1286"/>
      <c r="AJ193" s="1286"/>
      <c r="AK193" s="1286"/>
      <c r="AL193" s="1286"/>
      <c r="AM193" s="1286"/>
      <c r="AN193" s="1286"/>
      <c r="AO193" s="1286"/>
      <c r="AP193" s="1286"/>
      <c r="AQ193" s="1289"/>
      <c r="AR193" s="535"/>
    </row>
    <row r="194" spans="1:44" ht="15" customHeight="1">
      <c r="A194" s="1547" t="str">
        <f>IF(APNATION="","",VLOOKUP(APNATION,FORMINFO,12,0))</f>
        <v>Date of Birth</v>
      </c>
      <c r="B194" s="1548"/>
      <c r="C194" s="1548"/>
      <c r="D194" s="1549"/>
      <c r="E194" s="1267">
        <f>Information!F7</f>
        <v>0</v>
      </c>
      <c r="F194" s="1268"/>
      <c r="G194" s="1268"/>
      <c r="H194" s="1268"/>
      <c r="I194" s="1268"/>
      <c r="J194" s="1268"/>
      <c r="K194" s="1268"/>
      <c r="L194" s="1268"/>
      <c r="M194" s="1268"/>
      <c r="N194" s="1268"/>
      <c r="O194" s="1268"/>
      <c r="P194" s="1268"/>
      <c r="Q194" s="1268"/>
      <c r="R194" s="1268"/>
      <c r="S194" s="1269"/>
      <c r="T194" s="1550" t="str">
        <f>IF(APNATION="","",VLOOKUP(APNATION,FORMINFO,6,0))</f>
        <v>Gender</v>
      </c>
      <c r="U194" s="1548"/>
      <c r="V194" s="1548"/>
      <c r="W194" s="1549"/>
      <c r="X194" s="1256" t="str">
        <f>AA6</f>
        <v>□</v>
      </c>
      <c r="Y194" s="1257"/>
      <c r="Z194" s="1551" t="str">
        <f>IF(APNATION="","",VLOOKUP(APNATION,FORMINFO,7,0))</f>
        <v>Male</v>
      </c>
      <c r="AA194" s="1551"/>
      <c r="AB194" s="1551"/>
      <c r="AC194" s="1552" t="str">
        <f>AF6</f>
        <v>□</v>
      </c>
      <c r="AD194" s="1551" t="str">
        <f>IF(APNATION="","",VLOOKUP(APNATION,FORMINFO,8,0))</f>
        <v>Female</v>
      </c>
      <c r="AE194" s="1551"/>
      <c r="AF194" s="1551"/>
      <c r="AG194" s="1252"/>
      <c r="AH194" s="1252"/>
      <c r="AI194" s="1252"/>
      <c r="AJ194" s="1252"/>
      <c r="AK194" s="1252"/>
      <c r="AL194" s="1252"/>
      <c r="AM194" s="1252"/>
      <c r="AN194" s="1252"/>
      <c r="AO194" s="1252"/>
      <c r="AP194" s="1252"/>
      <c r="AQ194" s="1253"/>
    </row>
    <row r="195" spans="1:44" ht="15" customHeight="1">
      <c r="A195" s="1500" t="s">
        <v>33</v>
      </c>
      <c r="B195" s="1501"/>
      <c r="C195" s="1501"/>
      <c r="D195" s="1502"/>
      <c r="E195" s="1270"/>
      <c r="F195" s="1271"/>
      <c r="G195" s="1271"/>
      <c r="H195" s="1271"/>
      <c r="I195" s="1271"/>
      <c r="J195" s="1271"/>
      <c r="K195" s="1271"/>
      <c r="L195" s="1271"/>
      <c r="M195" s="1271"/>
      <c r="N195" s="1271"/>
      <c r="O195" s="1271"/>
      <c r="P195" s="1271"/>
      <c r="Q195" s="1271"/>
      <c r="R195" s="1271"/>
      <c r="S195" s="1272"/>
      <c r="T195" s="1530" t="s">
        <v>101</v>
      </c>
      <c r="U195" s="1531"/>
      <c r="V195" s="1531"/>
      <c r="W195" s="1532"/>
      <c r="X195" s="1258"/>
      <c r="Y195" s="1259"/>
      <c r="Z195" s="1533" t="s">
        <v>102</v>
      </c>
      <c r="AA195" s="1533"/>
      <c r="AB195" s="1533"/>
      <c r="AC195" s="1553"/>
      <c r="AD195" s="1533" t="s">
        <v>103</v>
      </c>
      <c r="AE195" s="1533"/>
      <c r="AF195" s="1533"/>
      <c r="AG195" s="1254"/>
      <c r="AH195" s="1254"/>
      <c r="AI195" s="1254"/>
      <c r="AJ195" s="1254"/>
      <c r="AK195" s="1254"/>
      <c r="AL195" s="1254"/>
      <c r="AM195" s="1254"/>
      <c r="AN195" s="1254"/>
      <c r="AO195" s="1254"/>
      <c r="AP195" s="1254"/>
      <c r="AQ195" s="1255"/>
    </row>
    <row r="196" spans="1:44" ht="15" customHeight="1">
      <c r="A196" s="1246"/>
      <c r="B196" s="1246"/>
      <c r="C196" s="1246"/>
      <c r="D196" s="1246"/>
      <c r="E196" s="1246"/>
      <c r="F196" s="1246"/>
      <c r="G196" s="1246"/>
      <c r="H196" s="1246"/>
      <c r="I196" s="1246"/>
      <c r="J196" s="1246"/>
      <c r="K196" s="1246"/>
      <c r="L196" s="1246"/>
      <c r="M196" s="1246"/>
      <c r="N196" s="1246"/>
      <c r="O196" s="1246"/>
      <c r="P196" s="1246"/>
      <c r="Q196" s="1246"/>
      <c r="R196" s="1246"/>
      <c r="S196" s="1246"/>
      <c r="T196" s="1246"/>
      <c r="U196" s="1246"/>
      <c r="V196" s="1246"/>
      <c r="W196" s="1246"/>
      <c r="X196" s="1246"/>
      <c r="Y196" s="1246"/>
      <c r="Z196" s="1246"/>
      <c r="AA196" s="1246"/>
      <c r="AB196" s="1246"/>
      <c r="AC196" s="1246"/>
      <c r="AD196" s="1246"/>
      <c r="AE196" s="1246"/>
      <c r="AF196" s="1246"/>
      <c r="AG196" s="1246"/>
      <c r="AH196" s="1246"/>
      <c r="AI196" s="1246"/>
      <c r="AJ196" s="1246"/>
      <c r="AK196" s="1246"/>
      <c r="AL196" s="1246"/>
      <c r="AM196" s="1246"/>
      <c r="AN196" s="1246"/>
      <c r="AO196" s="1246"/>
      <c r="AP196" s="1246"/>
      <c r="AQ196" s="1246"/>
    </row>
    <row r="197" spans="1:44" ht="15" customHeight="1">
      <c r="A197" s="1246"/>
      <c r="B197" s="1246"/>
      <c r="C197" s="1246"/>
      <c r="D197" s="1246"/>
      <c r="E197" s="1246"/>
      <c r="F197" s="1246"/>
      <c r="G197" s="1246"/>
      <c r="H197" s="1246"/>
      <c r="I197" s="1246"/>
      <c r="J197" s="1246"/>
      <c r="K197" s="1246"/>
      <c r="L197" s="1246"/>
      <c r="M197" s="1246"/>
      <c r="N197" s="1246"/>
      <c r="O197" s="1246"/>
      <c r="P197" s="1246"/>
      <c r="Q197" s="1246"/>
      <c r="R197" s="1246"/>
      <c r="S197" s="1246"/>
      <c r="T197" s="1246"/>
      <c r="U197" s="1246"/>
      <c r="V197" s="1246"/>
      <c r="W197" s="1246"/>
      <c r="X197" s="1246"/>
      <c r="Y197" s="1246"/>
      <c r="Z197" s="1246"/>
      <c r="AA197" s="1246"/>
      <c r="AB197" s="1246"/>
      <c r="AC197" s="1246"/>
      <c r="AD197" s="1246"/>
      <c r="AE197" s="1246"/>
      <c r="AF197" s="1246"/>
      <c r="AG197" s="1246"/>
      <c r="AH197" s="1246"/>
      <c r="AI197" s="1246"/>
      <c r="AJ197" s="1246"/>
      <c r="AK197" s="1246"/>
      <c r="AL197" s="1246"/>
      <c r="AM197" s="1246"/>
      <c r="AN197" s="1246"/>
      <c r="AO197" s="1246"/>
      <c r="AP197" s="1246"/>
      <c r="AQ197" s="1246"/>
    </row>
    <row r="198" spans="1:44" ht="15" customHeight="1">
      <c r="A198" s="1246"/>
      <c r="B198" s="1246"/>
      <c r="C198" s="1246"/>
      <c r="D198" s="1246"/>
      <c r="E198" s="1246"/>
      <c r="F198" s="1246"/>
      <c r="G198" s="1246"/>
      <c r="H198" s="1246"/>
      <c r="I198" s="1246"/>
      <c r="J198" s="1246"/>
      <c r="K198" s="1246"/>
      <c r="L198" s="1246"/>
      <c r="M198" s="1246"/>
      <c r="N198" s="1246"/>
      <c r="O198" s="1246"/>
      <c r="P198" s="1246"/>
      <c r="Q198" s="1246"/>
      <c r="R198" s="1246"/>
      <c r="S198" s="1246"/>
      <c r="T198" s="1246"/>
      <c r="U198" s="1246"/>
      <c r="V198" s="1246"/>
      <c r="W198" s="1246"/>
      <c r="X198" s="1246"/>
      <c r="Y198" s="1246"/>
      <c r="Z198" s="1246"/>
      <c r="AA198" s="1246"/>
      <c r="AB198" s="1246"/>
      <c r="AC198" s="1246"/>
      <c r="AD198" s="1246"/>
      <c r="AE198" s="1246"/>
      <c r="AF198" s="1246"/>
      <c r="AG198" s="1246"/>
      <c r="AH198" s="1246"/>
      <c r="AI198" s="1246"/>
      <c r="AJ198" s="1246"/>
      <c r="AK198" s="1246"/>
      <c r="AL198" s="1246"/>
      <c r="AM198" s="1246"/>
      <c r="AN198" s="1246"/>
      <c r="AO198" s="1246"/>
      <c r="AP198" s="1246"/>
      <c r="AQ198" s="1246"/>
    </row>
    <row r="199" spans="1:44" ht="15" customHeight="1">
      <c r="A199" s="1246"/>
      <c r="B199" s="1246"/>
      <c r="C199" s="1246"/>
      <c r="D199" s="1246"/>
      <c r="E199" s="1246"/>
      <c r="F199" s="1246"/>
      <c r="G199" s="1246"/>
      <c r="H199" s="1246"/>
      <c r="I199" s="1246"/>
      <c r="J199" s="1246"/>
      <c r="K199" s="1246"/>
      <c r="L199" s="1246"/>
      <c r="M199" s="1246"/>
      <c r="N199" s="1246"/>
      <c r="O199" s="1246"/>
      <c r="P199" s="1246"/>
      <c r="Q199" s="1246"/>
      <c r="R199" s="1246"/>
      <c r="S199" s="1246"/>
      <c r="T199" s="1246"/>
      <c r="U199" s="1246"/>
      <c r="V199" s="1246"/>
      <c r="W199" s="1246"/>
      <c r="X199" s="1246"/>
      <c r="Y199" s="1246"/>
      <c r="Z199" s="1246"/>
      <c r="AA199" s="1246"/>
      <c r="AB199" s="1246"/>
      <c r="AC199" s="1246"/>
      <c r="AD199" s="1246"/>
      <c r="AE199" s="1246"/>
      <c r="AF199" s="1246"/>
      <c r="AG199" s="1246"/>
      <c r="AH199" s="1246"/>
      <c r="AI199" s="1246"/>
      <c r="AJ199" s="1246"/>
      <c r="AK199" s="1246"/>
      <c r="AL199" s="1246"/>
      <c r="AM199" s="1246"/>
      <c r="AN199" s="1246"/>
      <c r="AO199" s="1246"/>
      <c r="AP199" s="1246"/>
      <c r="AQ199" s="1246"/>
      <c r="AR199" s="587"/>
    </row>
    <row r="200" spans="1:44" ht="15" customHeight="1">
      <c r="A200" s="1246"/>
      <c r="B200" s="1246"/>
      <c r="C200" s="1246"/>
      <c r="D200" s="1246"/>
      <c r="E200" s="1246"/>
      <c r="F200" s="1246"/>
      <c r="G200" s="1246"/>
      <c r="H200" s="1246"/>
      <c r="I200" s="1246"/>
      <c r="J200" s="1246"/>
      <c r="K200" s="1246"/>
      <c r="L200" s="1246"/>
      <c r="M200" s="1246"/>
      <c r="N200" s="1246"/>
      <c r="O200" s="1246"/>
      <c r="P200" s="1246"/>
      <c r="Q200" s="1246"/>
      <c r="R200" s="1246"/>
      <c r="S200" s="1246"/>
      <c r="T200" s="1246"/>
      <c r="U200" s="1246"/>
      <c r="V200" s="1246"/>
      <c r="W200" s="1246"/>
      <c r="X200" s="1246"/>
      <c r="Y200" s="1246"/>
      <c r="Z200" s="1246"/>
      <c r="AA200" s="1246"/>
      <c r="AB200" s="1246"/>
      <c r="AC200" s="1246"/>
      <c r="AD200" s="1246"/>
      <c r="AE200" s="1246"/>
      <c r="AF200" s="1246"/>
      <c r="AG200" s="1246"/>
      <c r="AH200" s="1246"/>
      <c r="AI200" s="1246"/>
      <c r="AJ200" s="1246"/>
      <c r="AK200" s="1246"/>
      <c r="AL200" s="1246"/>
      <c r="AM200" s="1246"/>
      <c r="AN200" s="1246"/>
      <c r="AO200" s="1246"/>
      <c r="AP200" s="1246"/>
      <c r="AQ200" s="1246"/>
      <c r="AR200" s="587"/>
    </row>
    <row r="201" spans="1:44" ht="15" customHeight="1">
      <c r="A201" s="1251" t="s">
        <v>104</v>
      </c>
      <c r="B201" s="1251"/>
      <c r="C201" s="1251"/>
      <c r="D201" s="1251"/>
      <c r="E201" s="1251"/>
      <c r="F201" s="1251"/>
      <c r="G201" s="1251"/>
      <c r="H201" s="1251"/>
      <c r="I201" s="1251"/>
      <c r="J201" s="1251"/>
      <c r="K201" s="1251"/>
      <c r="L201" s="1251"/>
      <c r="M201" s="1251"/>
      <c r="N201" s="1251"/>
      <c r="O201" s="1251"/>
      <c r="P201" s="1251"/>
      <c r="Q201" s="1251"/>
      <c r="R201" s="1251"/>
      <c r="S201" s="1251"/>
      <c r="T201" s="1251"/>
      <c r="U201" s="1251"/>
      <c r="V201" s="1251"/>
      <c r="W201" s="1251"/>
      <c r="X201" s="1251"/>
      <c r="Y201" s="1251"/>
      <c r="Z201" s="1251"/>
      <c r="AA201" s="1251"/>
      <c r="AB201" s="1251"/>
      <c r="AC201" s="1251"/>
      <c r="AD201" s="1251"/>
      <c r="AE201" s="1251"/>
      <c r="AF201" s="1251"/>
      <c r="AG201" s="1251"/>
      <c r="AH201" s="1251"/>
      <c r="AI201" s="1251"/>
      <c r="AJ201" s="1251"/>
      <c r="AK201" s="1251"/>
      <c r="AL201" s="1251"/>
      <c r="AM201" s="1251"/>
      <c r="AN201" s="1251"/>
      <c r="AO201" s="1251"/>
      <c r="AP201" s="1251"/>
      <c r="AQ201" s="1251"/>
      <c r="AR201" s="588"/>
    </row>
    <row r="202" spans="1:44" ht="15" customHeight="1">
      <c r="A202" s="1251"/>
      <c r="B202" s="1251"/>
      <c r="C202" s="1251"/>
      <c r="D202" s="1251"/>
      <c r="E202" s="1251"/>
      <c r="F202" s="1251"/>
      <c r="G202" s="1251"/>
      <c r="H202" s="1251"/>
      <c r="I202" s="1251"/>
      <c r="J202" s="1251"/>
      <c r="K202" s="1251"/>
      <c r="L202" s="1251"/>
      <c r="M202" s="1251"/>
      <c r="N202" s="1251"/>
      <c r="O202" s="1251"/>
      <c r="P202" s="1251"/>
      <c r="Q202" s="1251"/>
      <c r="R202" s="1251"/>
      <c r="S202" s="1251"/>
      <c r="T202" s="1251"/>
      <c r="U202" s="1251"/>
      <c r="V202" s="1251"/>
      <c r="W202" s="1251"/>
      <c r="X202" s="1251"/>
      <c r="Y202" s="1251"/>
      <c r="Z202" s="1251"/>
      <c r="AA202" s="1251"/>
      <c r="AB202" s="1251"/>
      <c r="AC202" s="1251"/>
      <c r="AD202" s="1251"/>
      <c r="AE202" s="1251"/>
      <c r="AF202" s="1251"/>
      <c r="AG202" s="1251"/>
      <c r="AH202" s="1251"/>
      <c r="AI202" s="1251"/>
      <c r="AJ202" s="1251"/>
      <c r="AK202" s="1251"/>
      <c r="AL202" s="1251"/>
      <c r="AM202" s="1251"/>
      <c r="AN202" s="1251"/>
      <c r="AO202" s="1251"/>
      <c r="AP202" s="1251"/>
      <c r="AQ202" s="1251"/>
      <c r="AR202" s="588"/>
    </row>
    <row r="203" spans="1:44" ht="15" customHeight="1">
      <c r="A203" s="1251" t="str">
        <f>IF(APNATION="","",VLOOKUP(APNATION,EXPENSEINFO,6,0))</f>
        <v>I hereby will be the supporter of expenses (in the case of staying / entering Japan), so I will prove the sponsorship of expenses as well as explain the circumstances of expenses as described below.</v>
      </c>
      <c r="B203" s="1251"/>
      <c r="C203" s="1251"/>
      <c r="D203" s="1251"/>
      <c r="E203" s="1251"/>
      <c r="F203" s="1251"/>
      <c r="G203" s="1251"/>
      <c r="H203" s="1251"/>
      <c r="I203" s="1251"/>
      <c r="J203" s="1251"/>
      <c r="K203" s="1251"/>
      <c r="L203" s="1251"/>
      <c r="M203" s="1251"/>
      <c r="N203" s="1251"/>
      <c r="O203" s="1251"/>
      <c r="P203" s="1251"/>
      <c r="Q203" s="1251"/>
      <c r="R203" s="1251"/>
      <c r="S203" s="1251"/>
      <c r="T203" s="1251"/>
      <c r="U203" s="1251"/>
      <c r="V203" s="1251"/>
      <c r="W203" s="1251"/>
      <c r="X203" s="1251"/>
      <c r="Y203" s="1251"/>
      <c r="Z203" s="1251"/>
      <c r="AA203" s="1251"/>
      <c r="AB203" s="1251"/>
      <c r="AC203" s="1251"/>
      <c r="AD203" s="1251"/>
      <c r="AE203" s="1251"/>
      <c r="AF203" s="1251"/>
      <c r="AG203" s="1251"/>
      <c r="AH203" s="1251"/>
      <c r="AI203" s="1251"/>
      <c r="AJ203" s="1251"/>
      <c r="AK203" s="1251"/>
      <c r="AL203" s="1251"/>
      <c r="AM203" s="1251"/>
      <c r="AN203" s="1251"/>
      <c r="AO203" s="1251"/>
      <c r="AP203" s="1251"/>
      <c r="AQ203" s="1251"/>
      <c r="AR203" s="588"/>
    </row>
    <row r="204" spans="1:44" ht="15" customHeight="1">
      <c r="A204" s="1251"/>
      <c r="B204" s="1251"/>
      <c r="C204" s="1251"/>
      <c r="D204" s="1251"/>
      <c r="E204" s="1251"/>
      <c r="F204" s="1251"/>
      <c r="G204" s="1251"/>
      <c r="H204" s="1251"/>
      <c r="I204" s="1251"/>
      <c r="J204" s="1251"/>
      <c r="K204" s="1251"/>
      <c r="L204" s="1251"/>
      <c r="M204" s="1251"/>
      <c r="N204" s="1251"/>
      <c r="O204" s="1251"/>
      <c r="P204" s="1251"/>
      <c r="Q204" s="1251"/>
      <c r="R204" s="1251"/>
      <c r="S204" s="1251"/>
      <c r="T204" s="1251"/>
      <c r="U204" s="1251"/>
      <c r="V204" s="1251"/>
      <c r="W204" s="1251"/>
      <c r="X204" s="1251"/>
      <c r="Y204" s="1251"/>
      <c r="Z204" s="1251"/>
      <c r="AA204" s="1251"/>
      <c r="AB204" s="1251"/>
      <c r="AC204" s="1251"/>
      <c r="AD204" s="1251"/>
      <c r="AE204" s="1251"/>
      <c r="AF204" s="1251"/>
      <c r="AG204" s="1251"/>
      <c r="AH204" s="1251"/>
      <c r="AI204" s="1251"/>
      <c r="AJ204" s="1251"/>
      <c r="AK204" s="1251"/>
      <c r="AL204" s="1251"/>
      <c r="AM204" s="1251"/>
      <c r="AN204" s="1251"/>
      <c r="AO204" s="1251"/>
      <c r="AP204" s="1251"/>
      <c r="AQ204" s="1251"/>
      <c r="AR204" s="589"/>
    </row>
    <row r="205" spans="1:44" ht="15" customHeight="1">
      <c r="A205" s="1263" t="s">
        <v>105</v>
      </c>
      <c r="B205" s="1263"/>
      <c r="C205" s="1263"/>
      <c r="D205" s="1263"/>
      <c r="E205" s="1263"/>
      <c r="F205" s="1263"/>
      <c r="G205" s="1263"/>
      <c r="H205" s="1263"/>
      <c r="I205" s="1263"/>
      <c r="J205" s="1263"/>
      <c r="K205" s="1263"/>
      <c r="L205" s="1263"/>
      <c r="M205" s="1263"/>
      <c r="N205" s="1263"/>
      <c r="O205" s="1263"/>
      <c r="P205" s="1263"/>
      <c r="Q205" s="1263"/>
      <c r="R205" s="1263"/>
      <c r="S205" s="1263"/>
      <c r="T205" s="1263"/>
      <c r="U205" s="1263"/>
      <c r="V205" s="1263"/>
      <c r="W205" s="1263"/>
      <c r="X205" s="1263"/>
      <c r="Y205" s="1263"/>
      <c r="Z205" s="1263"/>
      <c r="AA205" s="1263"/>
      <c r="AB205" s="1263"/>
      <c r="AC205" s="1263"/>
      <c r="AD205" s="1263"/>
      <c r="AE205" s="1263"/>
      <c r="AF205" s="1263"/>
      <c r="AG205" s="1263"/>
      <c r="AH205" s="1263"/>
      <c r="AI205" s="1263"/>
      <c r="AJ205" s="1263"/>
      <c r="AK205" s="1263"/>
      <c r="AL205" s="1263"/>
      <c r="AM205" s="1263"/>
      <c r="AN205" s="1263"/>
      <c r="AO205" s="1263"/>
      <c r="AP205" s="1263"/>
      <c r="AQ205" s="1263"/>
      <c r="AR205" s="590"/>
    </row>
    <row r="206" spans="1:44" ht="15" customHeight="1">
      <c r="A206" s="1263"/>
      <c r="B206" s="1263"/>
      <c r="C206" s="1263"/>
      <c r="D206" s="1263"/>
      <c r="E206" s="1263"/>
      <c r="F206" s="1263"/>
      <c r="G206" s="1263"/>
      <c r="H206" s="1263"/>
      <c r="I206" s="1263"/>
      <c r="J206" s="1263"/>
      <c r="K206" s="1263"/>
      <c r="L206" s="1263"/>
      <c r="M206" s="1263"/>
      <c r="N206" s="1263"/>
      <c r="O206" s="1263"/>
      <c r="P206" s="1263"/>
      <c r="Q206" s="1263"/>
      <c r="R206" s="1263"/>
      <c r="S206" s="1263"/>
      <c r="T206" s="1263"/>
      <c r="U206" s="1263"/>
      <c r="V206" s="1263"/>
      <c r="W206" s="1263"/>
      <c r="X206" s="1263"/>
      <c r="Y206" s="1263"/>
      <c r="Z206" s="1263"/>
      <c r="AA206" s="1263"/>
      <c r="AB206" s="1263"/>
      <c r="AC206" s="1263"/>
      <c r="AD206" s="1263"/>
      <c r="AE206" s="1263"/>
      <c r="AF206" s="1263"/>
      <c r="AG206" s="1263"/>
      <c r="AH206" s="1263"/>
      <c r="AI206" s="1263"/>
      <c r="AJ206" s="1263"/>
      <c r="AK206" s="1263"/>
      <c r="AL206" s="1263"/>
      <c r="AM206" s="1263"/>
      <c r="AN206" s="1263"/>
      <c r="AO206" s="1263"/>
      <c r="AP206" s="1263"/>
      <c r="AQ206" s="1263"/>
      <c r="AR206" s="590"/>
    </row>
    <row r="207" spans="1:44" ht="15" customHeight="1">
      <c r="A207" s="1534" t="s">
        <v>106</v>
      </c>
      <c r="B207" s="1534"/>
      <c r="C207" s="1534"/>
      <c r="D207" s="1534"/>
      <c r="E207" s="1534"/>
      <c r="F207" s="1534"/>
      <c r="G207" s="1534"/>
      <c r="H207" s="1534"/>
      <c r="I207" s="1534"/>
      <c r="J207" s="1534"/>
      <c r="K207" s="1534"/>
      <c r="L207" s="1534"/>
      <c r="M207" s="1534"/>
      <c r="N207" s="1534"/>
      <c r="O207" s="1534"/>
      <c r="P207" s="1534"/>
      <c r="Q207" s="1534"/>
      <c r="R207" s="1534"/>
      <c r="S207" s="1534"/>
      <c r="T207" s="1534"/>
      <c r="U207" s="1534"/>
      <c r="V207" s="1534"/>
      <c r="W207" s="1534"/>
      <c r="X207" s="1534"/>
      <c r="Y207" s="1534"/>
      <c r="Z207" s="1534"/>
      <c r="AA207" s="1534"/>
      <c r="AB207" s="1534"/>
      <c r="AC207" s="1534"/>
      <c r="AD207" s="1534"/>
      <c r="AE207" s="1534"/>
      <c r="AF207" s="1534"/>
      <c r="AG207" s="1534"/>
      <c r="AH207" s="1534"/>
      <c r="AI207" s="1534"/>
      <c r="AJ207" s="1534"/>
      <c r="AK207" s="1534"/>
      <c r="AL207" s="1534"/>
      <c r="AM207" s="1534"/>
      <c r="AN207" s="1534"/>
      <c r="AO207" s="1534"/>
      <c r="AP207" s="1534"/>
      <c r="AQ207" s="554"/>
    </row>
    <row r="208" spans="1:44" ht="15" customHeight="1">
      <c r="A208" s="1251" t="str">
        <f>IF(APNATION="","",VLOOKUP(APNATION,EXPENSEINFO,7,0))</f>
        <v>Please Explain in detail why you are sponsoring the above applicant (explaining the circumstances for sponsorship and your relationship to the applicant)</v>
      </c>
      <c r="B208" s="1251"/>
      <c r="C208" s="1251"/>
      <c r="D208" s="1251"/>
      <c r="E208" s="1251"/>
      <c r="F208" s="1251"/>
      <c r="G208" s="1251"/>
      <c r="H208" s="1251"/>
      <c r="I208" s="1251"/>
      <c r="J208" s="1251"/>
      <c r="K208" s="1251"/>
      <c r="L208" s="1251"/>
      <c r="M208" s="1251"/>
      <c r="N208" s="1251"/>
      <c r="O208" s="1251"/>
      <c r="P208" s="1251"/>
      <c r="Q208" s="1251"/>
      <c r="R208" s="1251"/>
      <c r="S208" s="1251"/>
      <c r="T208" s="1251"/>
      <c r="U208" s="1251"/>
      <c r="V208" s="1251"/>
      <c r="W208" s="1251"/>
      <c r="X208" s="1251"/>
      <c r="Y208" s="1251"/>
      <c r="Z208" s="1251"/>
      <c r="AA208" s="1251"/>
      <c r="AB208" s="1251"/>
      <c r="AC208" s="1251"/>
      <c r="AD208" s="1251"/>
      <c r="AE208" s="1251"/>
      <c r="AF208" s="1251"/>
      <c r="AG208" s="1251"/>
      <c r="AH208" s="1251"/>
      <c r="AI208" s="1251"/>
      <c r="AJ208" s="1251"/>
      <c r="AK208" s="1251"/>
      <c r="AL208" s="1251"/>
      <c r="AM208" s="1251"/>
      <c r="AN208" s="1251"/>
      <c r="AO208" s="1251"/>
      <c r="AP208" s="1251"/>
      <c r="AQ208" s="1251"/>
    </row>
    <row r="209" spans="1:44" ht="15" customHeight="1">
      <c r="A209" s="1251"/>
      <c r="B209" s="1251"/>
      <c r="C209" s="1251"/>
      <c r="D209" s="1251"/>
      <c r="E209" s="1251"/>
      <c r="F209" s="1251"/>
      <c r="G209" s="1251"/>
      <c r="H209" s="1251"/>
      <c r="I209" s="1251"/>
      <c r="J209" s="1251"/>
      <c r="K209" s="1251"/>
      <c r="L209" s="1251"/>
      <c r="M209" s="1251"/>
      <c r="N209" s="1251"/>
      <c r="O209" s="1251"/>
      <c r="P209" s="1251"/>
      <c r="Q209" s="1251"/>
      <c r="R209" s="1251"/>
      <c r="S209" s="1251"/>
      <c r="T209" s="1251"/>
      <c r="U209" s="1251"/>
      <c r="V209" s="1251"/>
      <c r="W209" s="1251"/>
      <c r="X209" s="1251"/>
      <c r="Y209" s="1251"/>
      <c r="Z209" s="1251"/>
      <c r="AA209" s="1251"/>
      <c r="AB209" s="1251"/>
      <c r="AC209" s="1251"/>
      <c r="AD209" s="1251"/>
      <c r="AE209" s="1251"/>
      <c r="AF209" s="1251"/>
      <c r="AG209" s="1251"/>
      <c r="AH209" s="1251"/>
      <c r="AI209" s="1251"/>
      <c r="AJ209" s="1251"/>
      <c r="AK209" s="1251"/>
      <c r="AL209" s="1251"/>
      <c r="AM209" s="1251"/>
      <c r="AN209" s="1251"/>
      <c r="AO209" s="1251"/>
      <c r="AP209" s="1251"/>
      <c r="AQ209" s="1251"/>
    </row>
    <row r="210" spans="1:44" ht="15" customHeight="1">
      <c r="A210" s="1247" t="str">
        <f>IFERROR(IF(APNATION="日本語","","
"&amp;VLOOKUP(APNATION,EXPENSEINFO,2,0)),"")</f>
        <v/>
      </c>
      <c r="B210" s="1225"/>
      <c r="C210" s="1225"/>
      <c r="D210" s="1225"/>
      <c r="E210" s="1225"/>
      <c r="F210" s="1225"/>
      <c r="G210" s="1225"/>
      <c r="H210" s="1225"/>
      <c r="I210" s="1225"/>
      <c r="J210" s="1225"/>
      <c r="K210" s="1225"/>
      <c r="L210" s="1225"/>
      <c r="M210" s="1225"/>
      <c r="N210" s="1225"/>
      <c r="O210" s="1225"/>
      <c r="P210" s="1225"/>
      <c r="Q210" s="1225"/>
      <c r="R210" s="1225"/>
      <c r="S210" s="1225"/>
      <c r="T210" s="1225"/>
      <c r="U210" s="1225"/>
      <c r="V210" s="1225"/>
      <c r="W210" s="1225"/>
      <c r="X210" s="1225"/>
      <c r="Y210" s="1225"/>
      <c r="Z210" s="1225"/>
      <c r="AA210" s="1225"/>
      <c r="AB210" s="1225"/>
      <c r="AC210" s="1225"/>
      <c r="AD210" s="1225"/>
      <c r="AE210" s="1225"/>
      <c r="AF210" s="1225"/>
      <c r="AG210" s="1225"/>
      <c r="AH210" s="1225"/>
      <c r="AI210" s="1225"/>
      <c r="AJ210" s="1225"/>
      <c r="AK210" s="1225"/>
      <c r="AL210" s="1225"/>
      <c r="AM210" s="1225"/>
      <c r="AN210" s="1225"/>
      <c r="AO210" s="1225"/>
      <c r="AP210" s="1225"/>
      <c r="AQ210" s="1226"/>
      <c r="AR210" s="535"/>
    </row>
    <row r="211" spans="1:44" ht="15" customHeight="1">
      <c r="A211" s="1248"/>
      <c r="B211" s="1233"/>
      <c r="C211" s="1233"/>
      <c r="D211" s="1233"/>
      <c r="E211" s="1233"/>
      <c r="F211" s="1233"/>
      <c r="G211" s="1233"/>
      <c r="H211" s="1233"/>
      <c r="I211" s="1233"/>
      <c r="J211" s="1233"/>
      <c r="K211" s="1233"/>
      <c r="L211" s="1233"/>
      <c r="M211" s="1233"/>
      <c r="N211" s="1233"/>
      <c r="O211" s="1233"/>
      <c r="P211" s="1233"/>
      <c r="Q211" s="1233"/>
      <c r="R211" s="1233"/>
      <c r="S211" s="1233"/>
      <c r="T211" s="1233"/>
      <c r="U211" s="1233"/>
      <c r="V211" s="1233"/>
      <c r="W211" s="1233"/>
      <c r="X211" s="1233"/>
      <c r="Y211" s="1233"/>
      <c r="Z211" s="1233"/>
      <c r="AA211" s="1233"/>
      <c r="AB211" s="1233"/>
      <c r="AC211" s="1233"/>
      <c r="AD211" s="1233"/>
      <c r="AE211" s="1233"/>
      <c r="AF211" s="1233"/>
      <c r="AG211" s="1233"/>
      <c r="AH211" s="1233"/>
      <c r="AI211" s="1233"/>
      <c r="AJ211" s="1233"/>
      <c r="AK211" s="1233"/>
      <c r="AL211" s="1233"/>
      <c r="AM211" s="1233"/>
      <c r="AN211" s="1233"/>
      <c r="AO211" s="1233"/>
      <c r="AP211" s="1233"/>
      <c r="AQ211" s="1249"/>
      <c r="AR211" s="535"/>
    </row>
    <row r="212" spans="1:44" ht="15" customHeight="1">
      <c r="A212" s="1248"/>
      <c r="B212" s="1233"/>
      <c r="C212" s="1233"/>
      <c r="D212" s="1233"/>
      <c r="E212" s="1233"/>
      <c r="F212" s="1233"/>
      <c r="G212" s="1233"/>
      <c r="H212" s="1233"/>
      <c r="I212" s="1233"/>
      <c r="J212" s="1233"/>
      <c r="K212" s="1233"/>
      <c r="L212" s="1233"/>
      <c r="M212" s="1233"/>
      <c r="N212" s="1233"/>
      <c r="O212" s="1233"/>
      <c r="P212" s="1233"/>
      <c r="Q212" s="1233"/>
      <c r="R212" s="1233"/>
      <c r="S212" s="1233"/>
      <c r="T212" s="1233"/>
      <c r="U212" s="1233"/>
      <c r="V212" s="1233"/>
      <c r="W212" s="1233"/>
      <c r="X212" s="1233"/>
      <c r="Y212" s="1233"/>
      <c r="Z212" s="1233"/>
      <c r="AA212" s="1233"/>
      <c r="AB212" s="1233"/>
      <c r="AC212" s="1233"/>
      <c r="AD212" s="1233"/>
      <c r="AE212" s="1233"/>
      <c r="AF212" s="1233"/>
      <c r="AG212" s="1233"/>
      <c r="AH212" s="1233"/>
      <c r="AI212" s="1233"/>
      <c r="AJ212" s="1233"/>
      <c r="AK212" s="1233"/>
      <c r="AL212" s="1233"/>
      <c r="AM212" s="1233"/>
      <c r="AN212" s="1233"/>
      <c r="AO212" s="1233"/>
      <c r="AP212" s="1233"/>
      <c r="AQ212" s="1249"/>
      <c r="AR212" s="535"/>
    </row>
    <row r="213" spans="1:44" ht="15" customHeight="1">
      <c r="A213" s="1248"/>
      <c r="B213" s="1233"/>
      <c r="C213" s="1233"/>
      <c r="D213" s="1233"/>
      <c r="E213" s="1233"/>
      <c r="F213" s="1233"/>
      <c r="G213" s="1233"/>
      <c r="H213" s="1233"/>
      <c r="I213" s="1233"/>
      <c r="J213" s="1233"/>
      <c r="K213" s="1233"/>
      <c r="L213" s="1233"/>
      <c r="M213" s="1233"/>
      <c r="N213" s="1233"/>
      <c r="O213" s="1233"/>
      <c r="P213" s="1233"/>
      <c r="Q213" s="1233"/>
      <c r="R213" s="1233"/>
      <c r="S213" s="1233"/>
      <c r="T213" s="1233"/>
      <c r="U213" s="1233"/>
      <c r="V213" s="1233"/>
      <c r="W213" s="1233"/>
      <c r="X213" s="1233"/>
      <c r="Y213" s="1233"/>
      <c r="Z213" s="1233"/>
      <c r="AA213" s="1233"/>
      <c r="AB213" s="1233"/>
      <c r="AC213" s="1233"/>
      <c r="AD213" s="1233"/>
      <c r="AE213" s="1233"/>
      <c r="AF213" s="1233"/>
      <c r="AG213" s="1233"/>
      <c r="AH213" s="1233"/>
      <c r="AI213" s="1233"/>
      <c r="AJ213" s="1233"/>
      <c r="AK213" s="1233"/>
      <c r="AL213" s="1233"/>
      <c r="AM213" s="1233"/>
      <c r="AN213" s="1233"/>
      <c r="AO213" s="1233"/>
      <c r="AP213" s="1233"/>
      <c r="AQ213" s="1249"/>
      <c r="AR213" s="535"/>
    </row>
    <row r="214" spans="1:44" ht="15" customHeight="1">
      <c r="A214" s="1248"/>
      <c r="B214" s="1233"/>
      <c r="C214" s="1233"/>
      <c r="D214" s="1233"/>
      <c r="E214" s="1233"/>
      <c r="F214" s="1233"/>
      <c r="G214" s="1233"/>
      <c r="H214" s="1233"/>
      <c r="I214" s="1233"/>
      <c r="J214" s="1233"/>
      <c r="K214" s="1233"/>
      <c r="L214" s="1233"/>
      <c r="M214" s="1233"/>
      <c r="N214" s="1233"/>
      <c r="O214" s="1233"/>
      <c r="P214" s="1233"/>
      <c r="Q214" s="1233"/>
      <c r="R214" s="1233"/>
      <c r="S214" s="1233"/>
      <c r="T214" s="1233"/>
      <c r="U214" s="1233"/>
      <c r="V214" s="1233"/>
      <c r="W214" s="1233"/>
      <c r="X214" s="1233"/>
      <c r="Y214" s="1233"/>
      <c r="Z214" s="1233"/>
      <c r="AA214" s="1233"/>
      <c r="AB214" s="1233"/>
      <c r="AC214" s="1233"/>
      <c r="AD214" s="1233"/>
      <c r="AE214" s="1233"/>
      <c r="AF214" s="1233"/>
      <c r="AG214" s="1233"/>
      <c r="AH214" s="1233"/>
      <c r="AI214" s="1233"/>
      <c r="AJ214" s="1233"/>
      <c r="AK214" s="1233"/>
      <c r="AL214" s="1233"/>
      <c r="AM214" s="1233"/>
      <c r="AN214" s="1233"/>
      <c r="AO214" s="1233"/>
      <c r="AP214" s="1233"/>
      <c r="AQ214" s="1249"/>
      <c r="AR214" s="590"/>
    </row>
    <row r="215" spans="1:44" ht="15" customHeight="1">
      <c r="A215" s="1248"/>
      <c r="B215" s="1233"/>
      <c r="C215" s="1233"/>
      <c r="D215" s="1233"/>
      <c r="E215" s="1233"/>
      <c r="F215" s="1233"/>
      <c r="G215" s="1233"/>
      <c r="H215" s="1233"/>
      <c r="I215" s="1233"/>
      <c r="J215" s="1233"/>
      <c r="K215" s="1233"/>
      <c r="L215" s="1233"/>
      <c r="M215" s="1233"/>
      <c r="N215" s="1233"/>
      <c r="O215" s="1233"/>
      <c r="P215" s="1233"/>
      <c r="Q215" s="1233"/>
      <c r="R215" s="1233"/>
      <c r="S215" s="1233"/>
      <c r="T215" s="1233"/>
      <c r="U215" s="1233"/>
      <c r="V215" s="1233"/>
      <c r="W215" s="1233"/>
      <c r="X215" s="1233"/>
      <c r="Y215" s="1233"/>
      <c r="Z215" s="1233"/>
      <c r="AA215" s="1233"/>
      <c r="AB215" s="1233"/>
      <c r="AC215" s="1233"/>
      <c r="AD215" s="1233"/>
      <c r="AE215" s="1233"/>
      <c r="AF215" s="1233"/>
      <c r="AG215" s="1233"/>
      <c r="AH215" s="1233"/>
      <c r="AI215" s="1233"/>
      <c r="AJ215" s="1233"/>
      <c r="AK215" s="1233"/>
      <c r="AL215" s="1233"/>
      <c r="AM215" s="1233"/>
      <c r="AN215" s="1233"/>
      <c r="AO215" s="1233"/>
      <c r="AP215" s="1233"/>
      <c r="AQ215" s="1249"/>
      <c r="AR215" s="575"/>
    </row>
    <row r="216" spans="1:44" ht="15" customHeight="1">
      <c r="A216" s="1248"/>
      <c r="B216" s="1233"/>
      <c r="C216" s="1233"/>
      <c r="D216" s="1233"/>
      <c r="E216" s="1233"/>
      <c r="F216" s="1233"/>
      <c r="G216" s="1233"/>
      <c r="H216" s="1233"/>
      <c r="I216" s="1233"/>
      <c r="J216" s="1233"/>
      <c r="K216" s="1233"/>
      <c r="L216" s="1233"/>
      <c r="M216" s="1233"/>
      <c r="N216" s="1233"/>
      <c r="O216" s="1233"/>
      <c r="P216" s="1233"/>
      <c r="Q216" s="1233"/>
      <c r="R216" s="1233"/>
      <c r="S216" s="1233"/>
      <c r="T216" s="1233"/>
      <c r="U216" s="1233"/>
      <c r="V216" s="1233"/>
      <c r="W216" s="1233"/>
      <c r="X216" s="1233"/>
      <c r="Y216" s="1233"/>
      <c r="Z216" s="1233"/>
      <c r="AA216" s="1233"/>
      <c r="AB216" s="1233"/>
      <c r="AC216" s="1233"/>
      <c r="AD216" s="1233"/>
      <c r="AE216" s="1233"/>
      <c r="AF216" s="1233"/>
      <c r="AG216" s="1233"/>
      <c r="AH216" s="1233"/>
      <c r="AI216" s="1233"/>
      <c r="AJ216" s="1233"/>
      <c r="AK216" s="1233"/>
      <c r="AL216" s="1233"/>
      <c r="AM216" s="1233"/>
      <c r="AN216" s="1233"/>
      <c r="AO216" s="1233"/>
      <c r="AP216" s="1233"/>
      <c r="AQ216" s="1249"/>
      <c r="AR216" s="590"/>
    </row>
    <row r="217" spans="1:44" ht="15" customHeight="1">
      <c r="A217" s="1250"/>
      <c r="B217" s="1227"/>
      <c r="C217" s="1227"/>
      <c r="D217" s="1227"/>
      <c r="E217" s="1227"/>
      <c r="F217" s="1227"/>
      <c r="G217" s="1227"/>
      <c r="H217" s="1227"/>
      <c r="I217" s="1227"/>
      <c r="J217" s="1227"/>
      <c r="K217" s="1227"/>
      <c r="L217" s="1227"/>
      <c r="M217" s="1227"/>
      <c r="N217" s="1227"/>
      <c r="O217" s="1227"/>
      <c r="P217" s="1227"/>
      <c r="Q217" s="1227"/>
      <c r="R217" s="1227"/>
      <c r="S217" s="1227"/>
      <c r="T217" s="1227"/>
      <c r="U217" s="1227"/>
      <c r="V217" s="1227"/>
      <c r="W217" s="1227"/>
      <c r="X217" s="1227"/>
      <c r="Y217" s="1227"/>
      <c r="Z217" s="1227"/>
      <c r="AA217" s="1227"/>
      <c r="AB217" s="1227"/>
      <c r="AC217" s="1227"/>
      <c r="AD217" s="1227"/>
      <c r="AE217" s="1227"/>
      <c r="AF217" s="1227"/>
      <c r="AG217" s="1227"/>
      <c r="AH217" s="1227"/>
      <c r="AI217" s="1227"/>
      <c r="AJ217" s="1227"/>
      <c r="AK217" s="1227"/>
      <c r="AL217" s="1227"/>
      <c r="AM217" s="1227"/>
      <c r="AN217" s="1227"/>
      <c r="AO217" s="1227"/>
      <c r="AP217" s="1227"/>
      <c r="AQ217" s="1228"/>
      <c r="AR217" s="569"/>
    </row>
    <row r="218" spans="1:44" ht="15" customHeight="1">
      <c r="A218" s="1246"/>
      <c r="B218" s="1246"/>
      <c r="C218" s="1246"/>
      <c r="D218" s="1246"/>
      <c r="E218" s="1246"/>
      <c r="F218" s="1246"/>
      <c r="G218" s="1246"/>
      <c r="H218" s="1246"/>
      <c r="I218" s="1246"/>
      <c r="J218" s="1246"/>
      <c r="K218" s="1246"/>
      <c r="L218" s="1246"/>
      <c r="M218" s="1246"/>
      <c r="N218" s="1246"/>
      <c r="O218" s="1246"/>
      <c r="P218" s="1246"/>
      <c r="Q218" s="1246"/>
      <c r="R218" s="1246"/>
      <c r="S218" s="1246"/>
      <c r="T218" s="1246"/>
      <c r="U218" s="1246"/>
      <c r="V218" s="1246"/>
      <c r="W218" s="1246"/>
      <c r="X218" s="1246"/>
      <c r="Y218" s="1246"/>
      <c r="Z218" s="1246"/>
      <c r="AA218" s="1246"/>
      <c r="AB218" s="1246"/>
      <c r="AC218" s="1246"/>
      <c r="AD218" s="1246"/>
      <c r="AE218" s="1246"/>
      <c r="AF218" s="1246"/>
      <c r="AG218" s="1246"/>
      <c r="AH218" s="1246"/>
      <c r="AI218" s="1246"/>
      <c r="AJ218" s="1246"/>
      <c r="AK218" s="1246"/>
      <c r="AL218" s="1246"/>
      <c r="AM218" s="1246"/>
      <c r="AN218" s="1246"/>
      <c r="AO218" s="1246"/>
      <c r="AP218" s="1246"/>
      <c r="AQ218" s="1246"/>
      <c r="AR218" s="569"/>
    </row>
    <row r="219" spans="1:44" ht="15" customHeight="1">
      <c r="A219" s="1535"/>
      <c r="B219" s="1535"/>
      <c r="C219" s="1535"/>
      <c r="D219" s="1535"/>
      <c r="E219" s="1535"/>
      <c r="F219" s="1535"/>
      <c r="G219" s="1535"/>
      <c r="H219" s="1535"/>
      <c r="I219" s="1535"/>
      <c r="J219" s="1535"/>
      <c r="K219" s="1535"/>
      <c r="L219" s="1535"/>
      <c r="M219" s="1535"/>
      <c r="N219" s="1535"/>
      <c r="O219" s="1535"/>
      <c r="P219" s="1535"/>
      <c r="Q219" s="1535"/>
      <c r="R219" s="1535"/>
      <c r="S219" s="1535"/>
      <c r="T219" s="1535"/>
      <c r="U219" s="1535"/>
      <c r="V219" s="1535"/>
      <c r="W219" s="1535"/>
      <c r="X219" s="1535"/>
      <c r="Y219" s="1535"/>
      <c r="Z219" s="1535"/>
      <c r="AA219" s="1535"/>
      <c r="AB219" s="1535"/>
      <c r="AC219" s="1535"/>
      <c r="AD219" s="1535"/>
      <c r="AE219" s="1535"/>
      <c r="AF219" s="1535"/>
      <c r="AG219" s="1535"/>
      <c r="AH219" s="1535"/>
      <c r="AI219" s="1535"/>
      <c r="AJ219" s="1535"/>
      <c r="AK219" s="1535"/>
      <c r="AL219" s="1535"/>
      <c r="AM219" s="1535"/>
      <c r="AN219" s="1535"/>
      <c r="AO219" s="1535"/>
      <c r="AP219" s="1535"/>
      <c r="AQ219" s="1535"/>
      <c r="AR219" s="569"/>
    </row>
    <row r="220" spans="1:44" ht="15" customHeight="1">
      <c r="A220" s="541" t="s">
        <v>107</v>
      </c>
      <c r="B220" s="1536" t="str">
        <f>UPPER(H17)</f>
        <v/>
      </c>
      <c r="C220" s="1536"/>
      <c r="D220" s="1536"/>
      <c r="E220" s="1536"/>
      <c r="F220" s="1536"/>
      <c r="G220" s="1536"/>
      <c r="H220" s="1536"/>
      <c r="I220" s="1536"/>
      <c r="J220" s="1536"/>
      <c r="K220" s="1536"/>
      <c r="L220" s="1536"/>
      <c r="M220" s="821" t="s">
        <v>108</v>
      </c>
      <c r="N220" s="821"/>
      <c r="O220" s="821"/>
      <c r="P220" s="821"/>
      <c r="Q220" s="821"/>
      <c r="R220" s="821"/>
      <c r="S220" s="821"/>
      <c r="T220" s="821"/>
      <c r="U220" s="821"/>
      <c r="V220" s="821"/>
      <c r="W220" s="821"/>
      <c r="X220" s="821"/>
      <c r="Y220" s="821"/>
      <c r="Z220" s="821"/>
      <c r="AA220" s="821"/>
      <c r="AB220" s="821"/>
      <c r="AC220" s="821"/>
      <c r="AD220" s="821"/>
      <c r="AE220" s="821"/>
      <c r="AF220" s="821"/>
      <c r="AG220" s="821"/>
      <c r="AH220" s="821"/>
      <c r="AI220" s="821"/>
      <c r="AJ220" s="821"/>
      <c r="AK220" s="821"/>
      <c r="AL220" s="821"/>
      <c r="AM220" s="821"/>
      <c r="AN220" s="821"/>
      <c r="AO220" s="821"/>
      <c r="AP220" s="821"/>
      <c r="AQ220" s="821"/>
      <c r="AR220" s="569"/>
    </row>
    <row r="221" spans="1:44" ht="15" customHeight="1">
      <c r="A221" s="1528" t="str">
        <f>IF(APNATION="","",VLOOKUP(APNATION,EXPENSEINFO,8,0))</f>
        <v>I,  hereby will cover expenses for the applicant's stay in Japan as follows.</v>
      </c>
      <c r="B221" s="1528"/>
      <c r="C221" s="1528"/>
      <c r="D221" s="1528"/>
      <c r="E221" s="1528"/>
      <c r="F221" s="1528"/>
      <c r="G221" s="1528"/>
      <c r="H221" s="1528"/>
      <c r="I221" s="1528"/>
      <c r="J221" s="1528"/>
      <c r="K221" s="1528"/>
      <c r="L221" s="1528"/>
      <c r="M221" s="1528"/>
      <c r="N221" s="1528"/>
      <c r="O221" s="1528"/>
      <c r="P221" s="1528"/>
      <c r="Q221" s="1528"/>
      <c r="R221" s="1528"/>
      <c r="S221" s="1528"/>
      <c r="T221" s="1528"/>
      <c r="U221" s="1528"/>
      <c r="V221" s="1528"/>
      <c r="W221" s="1528"/>
      <c r="X221" s="1528"/>
      <c r="Y221" s="1528"/>
      <c r="Z221" s="1528"/>
      <c r="AA221" s="1528"/>
      <c r="AB221" s="1528"/>
      <c r="AC221" s="1528"/>
      <c r="AD221" s="1528"/>
      <c r="AE221" s="1528"/>
      <c r="AF221" s="1528"/>
      <c r="AG221" s="1528"/>
      <c r="AH221" s="1528"/>
      <c r="AI221" s="1528"/>
      <c r="AJ221" s="1528"/>
      <c r="AK221" s="1528"/>
      <c r="AL221" s="1528"/>
      <c r="AM221" s="1528"/>
      <c r="AN221" s="1528"/>
      <c r="AO221" s="1528"/>
      <c r="AP221" s="1528"/>
      <c r="AQ221" s="1528"/>
      <c r="AR221" s="569"/>
    </row>
    <row r="222" spans="1:44" ht="15" customHeight="1">
      <c r="A222" s="1265" t="s">
        <v>109</v>
      </c>
      <c r="B222" s="1265"/>
      <c r="C222" s="1265"/>
      <c r="D222" s="1265"/>
      <c r="E222" s="1265"/>
      <c r="F222" s="1265"/>
      <c r="G222" s="1265"/>
      <c r="H222" s="1265"/>
      <c r="I222" s="1265"/>
      <c r="J222" s="1265"/>
      <c r="K222" s="1265"/>
      <c r="L222" s="1265"/>
      <c r="M222" s="1265"/>
      <c r="N222" s="1265"/>
      <c r="O222" s="1265"/>
      <c r="P222" s="1265"/>
      <c r="Q222" s="1265"/>
      <c r="R222" s="1265"/>
      <c r="S222" s="1265"/>
      <c r="T222" s="1265"/>
      <c r="U222" s="1265"/>
      <c r="V222" s="1265"/>
      <c r="W222" s="1265"/>
      <c r="X222" s="1265"/>
      <c r="Y222" s="1265"/>
      <c r="Z222" s="1265"/>
      <c r="AA222" s="1265"/>
      <c r="AB222" s="1265"/>
      <c r="AC222" s="1265"/>
      <c r="AD222" s="1265"/>
      <c r="AE222" s="1265"/>
      <c r="AF222" s="1265"/>
      <c r="AG222" s="1265"/>
      <c r="AH222" s="1265"/>
      <c r="AI222" s="1265"/>
      <c r="AJ222" s="1265"/>
      <c r="AK222" s="1265"/>
      <c r="AL222" s="1265"/>
      <c r="AM222" s="1265"/>
      <c r="AN222" s="1265"/>
      <c r="AO222" s="1265"/>
      <c r="AP222" s="1265"/>
      <c r="AQ222" s="1265"/>
      <c r="AR222" s="569"/>
    </row>
    <row r="223" spans="1:44" ht="15" customHeight="1">
      <c r="A223" s="1265"/>
      <c r="B223" s="1265"/>
      <c r="C223" s="1265"/>
      <c r="D223" s="1265"/>
      <c r="E223" s="1265"/>
      <c r="F223" s="1265"/>
      <c r="G223" s="1265"/>
      <c r="H223" s="1265"/>
      <c r="I223" s="1265"/>
      <c r="J223" s="1265"/>
      <c r="K223" s="1265"/>
      <c r="L223" s="1265"/>
      <c r="M223" s="1265"/>
      <c r="N223" s="1265"/>
      <c r="O223" s="1265"/>
      <c r="P223" s="1265"/>
      <c r="Q223" s="1265"/>
      <c r="R223" s="1265"/>
      <c r="S223" s="1265"/>
      <c r="T223" s="1265"/>
      <c r="U223" s="1265"/>
      <c r="V223" s="1265"/>
      <c r="W223" s="1265"/>
      <c r="X223" s="1265"/>
      <c r="Y223" s="1265"/>
      <c r="Z223" s="1265"/>
      <c r="AA223" s="1265"/>
      <c r="AB223" s="1265"/>
      <c r="AC223" s="1265"/>
      <c r="AD223" s="1265"/>
      <c r="AE223" s="1265"/>
      <c r="AF223" s="1265"/>
      <c r="AG223" s="1265"/>
      <c r="AH223" s="1265"/>
      <c r="AI223" s="1265"/>
      <c r="AJ223" s="1265"/>
      <c r="AK223" s="1265"/>
      <c r="AL223" s="1265"/>
      <c r="AM223" s="1265"/>
      <c r="AN223" s="1265"/>
      <c r="AO223" s="1265"/>
      <c r="AP223" s="1265"/>
      <c r="AQ223" s="1265"/>
      <c r="AR223" s="569"/>
    </row>
    <row r="224" spans="1:44" ht="15" customHeight="1">
      <c r="A224" s="1264" t="str">
        <f>IF(APNATION="日本語","",VLOOKUP(APNATION,EXPENSEINFO,9,0))</f>
        <v>In addition, when the applicant applies for an extension period of stay, I understand it is necessary to clarify the facts of living expenses etc. by copying the remittance certificate(s) or a deposit passbook in the name of the person (remittance facts, facts describing expenses) I will submit documents that clarify the details of support such as living expenses.</v>
      </c>
      <c r="B224" s="1264"/>
      <c r="C224" s="1264"/>
      <c r="D224" s="1264"/>
      <c r="E224" s="1264"/>
      <c r="F224" s="1264"/>
      <c r="G224" s="1264"/>
      <c r="H224" s="1264"/>
      <c r="I224" s="1264"/>
      <c r="J224" s="1264"/>
      <c r="K224" s="1264"/>
      <c r="L224" s="1264"/>
      <c r="M224" s="1264"/>
      <c r="N224" s="1264"/>
      <c r="O224" s="1264"/>
      <c r="P224" s="1264"/>
      <c r="Q224" s="1264"/>
      <c r="R224" s="1264"/>
      <c r="S224" s="1264"/>
      <c r="T224" s="1264"/>
      <c r="U224" s="1264"/>
      <c r="V224" s="1264"/>
      <c r="W224" s="1264"/>
      <c r="X224" s="1264"/>
      <c r="Y224" s="1264"/>
      <c r="Z224" s="1264"/>
      <c r="AA224" s="1264"/>
      <c r="AB224" s="1264"/>
      <c r="AC224" s="1264"/>
      <c r="AD224" s="1264"/>
      <c r="AE224" s="1264"/>
      <c r="AF224" s="1264"/>
      <c r="AG224" s="1264"/>
      <c r="AH224" s="1264"/>
      <c r="AI224" s="1264"/>
      <c r="AJ224" s="1264"/>
      <c r="AK224" s="1264"/>
      <c r="AL224" s="1264"/>
      <c r="AM224" s="1264"/>
      <c r="AN224" s="1264"/>
      <c r="AO224" s="1264"/>
      <c r="AP224" s="1264"/>
      <c r="AQ224" s="1264"/>
      <c r="AR224" s="569"/>
    </row>
    <row r="225" spans="1:58" ht="15" customHeight="1">
      <c r="A225" s="1264"/>
      <c r="B225" s="1264"/>
      <c r="C225" s="1264"/>
      <c r="D225" s="1264"/>
      <c r="E225" s="1264"/>
      <c r="F225" s="1264"/>
      <c r="G225" s="1264"/>
      <c r="H225" s="1264"/>
      <c r="I225" s="1264"/>
      <c r="J225" s="1264"/>
      <c r="K225" s="1264"/>
      <c r="L225" s="1264"/>
      <c r="M225" s="1264"/>
      <c r="N225" s="1264"/>
      <c r="O225" s="1264"/>
      <c r="P225" s="1264"/>
      <c r="Q225" s="1264"/>
      <c r="R225" s="1264"/>
      <c r="S225" s="1264"/>
      <c r="T225" s="1264"/>
      <c r="U225" s="1264"/>
      <c r="V225" s="1264"/>
      <c r="W225" s="1264"/>
      <c r="X225" s="1264"/>
      <c r="Y225" s="1264"/>
      <c r="Z225" s="1264"/>
      <c r="AA225" s="1264"/>
      <c r="AB225" s="1264"/>
      <c r="AC225" s="1264"/>
      <c r="AD225" s="1264"/>
      <c r="AE225" s="1264"/>
      <c r="AF225" s="1264"/>
      <c r="AG225" s="1264"/>
      <c r="AH225" s="1264"/>
      <c r="AI225" s="1264"/>
      <c r="AJ225" s="1264"/>
      <c r="AK225" s="1264"/>
      <c r="AL225" s="1264"/>
      <c r="AM225" s="1264"/>
      <c r="AN225" s="1264"/>
      <c r="AO225" s="1264"/>
      <c r="AP225" s="1264"/>
      <c r="AQ225" s="1264"/>
      <c r="AR225" s="569"/>
    </row>
    <row r="226" spans="1:58" s="7" customFormat="1" ht="15" customHeight="1">
      <c r="A226" s="1264"/>
      <c r="B226" s="1264"/>
      <c r="C226" s="1264"/>
      <c r="D226" s="1264"/>
      <c r="E226" s="1264"/>
      <c r="F226" s="1264"/>
      <c r="G226" s="1264"/>
      <c r="H226" s="1264"/>
      <c r="I226" s="1264"/>
      <c r="J226" s="1264"/>
      <c r="K226" s="1264"/>
      <c r="L226" s="1264"/>
      <c r="M226" s="1264"/>
      <c r="N226" s="1264"/>
      <c r="O226" s="1264"/>
      <c r="P226" s="1264"/>
      <c r="Q226" s="1264"/>
      <c r="R226" s="1264"/>
      <c r="S226" s="1264"/>
      <c r="T226" s="1264"/>
      <c r="U226" s="1264"/>
      <c r="V226" s="1264"/>
      <c r="W226" s="1264"/>
      <c r="X226" s="1264"/>
      <c r="Y226" s="1264"/>
      <c r="Z226" s="1264"/>
      <c r="AA226" s="1264"/>
      <c r="AB226" s="1264"/>
      <c r="AC226" s="1264"/>
      <c r="AD226" s="1264"/>
      <c r="AE226" s="1264"/>
      <c r="AF226" s="1264"/>
      <c r="AG226" s="1264"/>
      <c r="AH226" s="1264"/>
      <c r="AI226" s="1264"/>
      <c r="AJ226" s="1264"/>
      <c r="AK226" s="1264"/>
      <c r="AL226" s="1264"/>
      <c r="AM226" s="1264"/>
      <c r="AN226" s="1264"/>
      <c r="AO226" s="1264"/>
      <c r="AP226" s="1264"/>
      <c r="AQ226" s="1264"/>
      <c r="AR226" s="591"/>
    </row>
    <row r="227" spans="1:58" ht="15" customHeight="1">
      <c r="A227" s="1529" t="s">
        <v>105</v>
      </c>
      <c r="B227" s="1529"/>
      <c r="C227" s="1529"/>
      <c r="D227" s="1529"/>
      <c r="E227" s="1529"/>
      <c r="F227" s="1529"/>
      <c r="G227" s="1529"/>
      <c r="H227" s="1529"/>
      <c r="I227" s="1529"/>
      <c r="J227" s="1529"/>
      <c r="K227" s="1529"/>
      <c r="L227" s="1529"/>
      <c r="M227" s="1529"/>
      <c r="N227" s="1529"/>
      <c r="O227" s="1529"/>
      <c r="P227" s="1529"/>
      <c r="Q227" s="1529"/>
      <c r="R227" s="1529"/>
      <c r="S227" s="1529"/>
      <c r="T227" s="1529"/>
      <c r="U227" s="1529"/>
      <c r="V227" s="1529"/>
      <c r="W227" s="1529"/>
      <c r="X227" s="1529"/>
      <c r="Y227" s="1529"/>
      <c r="Z227" s="1529"/>
      <c r="AA227" s="1529"/>
      <c r="AB227" s="1529"/>
      <c r="AC227" s="1529"/>
      <c r="AD227" s="1529"/>
      <c r="AE227" s="1529"/>
      <c r="AF227" s="1529"/>
      <c r="AG227" s="1529"/>
      <c r="AH227" s="1529"/>
      <c r="AI227" s="1529"/>
      <c r="AJ227" s="1529"/>
      <c r="AK227" s="1529"/>
      <c r="AL227" s="1529"/>
      <c r="AM227" s="1529"/>
      <c r="AN227" s="1529"/>
      <c r="AO227" s="1529"/>
      <c r="AP227" s="1529"/>
      <c r="AQ227" s="1529"/>
      <c r="AR227" s="569"/>
    </row>
    <row r="228" spans="1:58" ht="15" customHeight="1">
      <c r="A228" s="540"/>
      <c r="B228" s="540"/>
      <c r="C228" s="540"/>
      <c r="D228" s="540"/>
      <c r="E228" s="540"/>
      <c r="F228" s="540"/>
      <c r="G228" s="540"/>
      <c r="H228" s="540"/>
      <c r="I228" s="540"/>
      <c r="J228" s="540"/>
      <c r="K228" s="540"/>
      <c r="L228" s="540"/>
      <c r="M228" s="540"/>
      <c r="N228" s="540"/>
      <c r="O228" s="540"/>
      <c r="P228" s="540"/>
      <c r="Q228" s="540"/>
      <c r="R228" s="540"/>
      <c r="S228" s="540"/>
      <c r="T228" s="540"/>
      <c r="U228" s="540"/>
      <c r="V228" s="540"/>
      <c r="W228" s="540"/>
      <c r="X228" s="540"/>
      <c r="Y228" s="540"/>
      <c r="Z228" s="540"/>
      <c r="AA228" s="540"/>
      <c r="AB228" s="540"/>
      <c r="AC228" s="540"/>
      <c r="AD228" s="540"/>
      <c r="AE228" s="540"/>
      <c r="AF228" s="540"/>
      <c r="AG228" s="540"/>
      <c r="AH228" s="540"/>
      <c r="AI228" s="540"/>
      <c r="AJ228" s="540"/>
      <c r="AK228" s="540"/>
      <c r="AL228" s="540"/>
      <c r="AM228" s="540"/>
      <c r="AN228" s="540"/>
      <c r="AO228" s="540"/>
      <c r="AP228" s="540"/>
      <c r="AQ228" s="540"/>
      <c r="AR228" s="569"/>
    </row>
    <row r="229" spans="1:58" ht="15" customHeight="1">
      <c r="A229" s="1343" t="s">
        <v>110</v>
      </c>
      <c r="B229" s="1343"/>
      <c r="C229" s="1513" t="s">
        <v>111</v>
      </c>
      <c r="D229" s="1513"/>
      <c r="E229" s="1513"/>
      <c r="F229" s="1513"/>
      <c r="G229" s="1513"/>
      <c r="H229" s="541"/>
      <c r="I229" s="1526" t="s">
        <v>5</v>
      </c>
      <c r="J229" s="1526"/>
      <c r="K229" s="1513" t="s">
        <v>112</v>
      </c>
      <c r="L229" s="1513"/>
      <c r="M229" s="1513"/>
      <c r="N229" s="1513"/>
      <c r="O229" s="1513"/>
      <c r="P229" s="1513"/>
      <c r="Q229" s="1526" t="s">
        <v>5</v>
      </c>
      <c r="R229" s="1526"/>
      <c r="S229" s="1513" t="s">
        <v>113</v>
      </c>
      <c r="T229" s="1513"/>
      <c r="U229" s="1513"/>
      <c r="V229" s="1513"/>
      <c r="W229" s="1513"/>
      <c r="X229" s="1513"/>
      <c r="Y229" s="1526" t="s">
        <v>89</v>
      </c>
      <c r="Z229" s="1526"/>
      <c r="AA229" s="1513" t="s">
        <v>114</v>
      </c>
      <c r="AB229" s="1513"/>
      <c r="AC229" s="1513"/>
      <c r="AD229" s="1513"/>
      <c r="AE229" s="1513"/>
      <c r="AF229" s="1513"/>
      <c r="AG229" s="554"/>
      <c r="AH229" s="1527">
        <v>880000</v>
      </c>
      <c r="AI229" s="1527"/>
      <c r="AJ229" s="1527"/>
      <c r="AK229" s="1527"/>
      <c r="AL229" s="1527"/>
      <c r="AM229" s="1527"/>
      <c r="AN229" s="1527"/>
      <c r="AO229" s="1513" t="s">
        <v>115</v>
      </c>
      <c r="AP229" s="1513"/>
      <c r="AQ229" s="1513"/>
      <c r="AR229" s="535"/>
    </row>
    <row r="230" spans="1:58" ht="15" customHeight="1">
      <c r="A230" s="541"/>
      <c r="B230" s="541"/>
      <c r="C230" s="1512" t="str">
        <f>IF(APNATION="","",VLOOKUP(APNATION,EXPENSEINFO,10,0))</f>
        <v>(Tuition Fee)</v>
      </c>
      <c r="D230" s="1512"/>
      <c r="E230" s="1512"/>
      <c r="F230" s="1512"/>
      <c r="G230" s="1512"/>
      <c r="H230" s="573"/>
      <c r="I230" s="573"/>
      <c r="J230" s="573"/>
      <c r="K230" s="1512" t="str">
        <f>IF(APNATION="","",VLOOKUP(APNATION,EXPENSEINFO,11,0))</f>
        <v>(Every month)</v>
      </c>
      <c r="L230" s="1512"/>
      <c r="M230" s="1512"/>
      <c r="N230" s="1512"/>
      <c r="O230" s="1512"/>
      <c r="P230" s="1512"/>
      <c r="Q230" s="573"/>
      <c r="R230" s="573"/>
      <c r="S230" s="1512" t="str">
        <f>IF(APNATION="","",VLOOKUP(APNATION,EXPENSEINFO,12,0))</f>
        <v>(Six months)</v>
      </c>
      <c r="T230" s="1512"/>
      <c r="U230" s="1512"/>
      <c r="V230" s="1512"/>
      <c r="W230" s="1512"/>
      <c r="X230" s="1512"/>
      <c r="Y230" s="573"/>
      <c r="Z230" s="573"/>
      <c r="AA230" s="1512" t="str">
        <f>IF(APNATION="","",VLOOKUP(APNATION,EXPENSEINFO,13,0))</f>
        <v>(1 year)</v>
      </c>
      <c r="AB230" s="1512"/>
      <c r="AC230" s="1512"/>
      <c r="AD230" s="1512"/>
      <c r="AE230" s="1512"/>
      <c r="AF230" s="1512"/>
      <c r="AG230" s="554"/>
      <c r="AH230" s="563"/>
      <c r="AI230" s="563"/>
      <c r="AJ230" s="563"/>
      <c r="AK230" s="563"/>
      <c r="AL230" s="563"/>
      <c r="AM230" s="563"/>
      <c r="AN230" s="563"/>
      <c r="AO230" s="563"/>
      <c r="AP230" s="540"/>
      <c r="AQ230" s="554"/>
      <c r="AR230" s="535"/>
    </row>
    <row r="231" spans="1:58" ht="15" customHeight="1">
      <c r="A231" s="540"/>
      <c r="B231" s="540"/>
      <c r="C231" s="540"/>
      <c r="D231" s="540"/>
      <c r="E231" s="540"/>
      <c r="F231" s="540"/>
      <c r="G231" s="540"/>
      <c r="H231" s="540"/>
      <c r="I231" s="540"/>
      <c r="J231" s="540"/>
      <c r="K231" s="540"/>
      <c r="L231" s="540"/>
      <c r="M231" s="540"/>
      <c r="N231" s="540"/>
      <c r="O231" s="540"/>
      <c r="P231" s="540"/>
      <c r="Q231" s="540"/>
      <c r="R231" s="540"/>
      <c r="S231" s="540"/>
      <c r="T231" s="540"/>
      <c r="U231" s="540"/>
      <c r="V231" s="540"/>
      <c r="W231" s="540"/>
      <c r="X231" s="540"/>
      <c r="Y231" s="540"/>
      <c r="Z231" s="540"/>
      <c r="AA231" s="540"/>
      <c r="AB231" s="540"/>
      <c r="AC231" s="540"/>
      <c r="AD231" s="540"/>
      <c r="AE231" s="540"/>
      <c r="AF231" s="540"/>
      <c r="AG231" s="540"/>
      <c r="AH231" s="540"/>
      <c r="AI231" s="540"/>
      <c r="AJ231" s="540"/>
      <c r="AK231" s="540"/>
      <c r="AL231" s="540"/>
      <c r="AM231" s="540"/>
      <c r="AN231" s="540"/>
      <c r="AO231" s="540"/>
      <c r="AP231" s="540"/>
      <c r="AQ231" s="540"/>
      <c r="AR231" s="590"/>
    </row>
    <row r="232" spans="1:58" ht="15" customHeight="1">
      <c r="A232" s="1343" t="s">
        <v>116</v>
      </c>
      <c r="B232" s="1343"/>
      <c r="C232" s="1513" t="s">
        <v>117</v>
      </c>
      <c r="D232" s="1513"/>
      <c r="E232" s="1513"/>
      <c r="F232" s="1513"/>
      <c r="G232" s="1513"/>
      <c r="H232" s="541"/>
      <c r="I232" s="1526" t="s">
        <v>89</v>
      </c>
      <c r="J232" s="1526"/>
      <c r="K232" s="1513" t="s">
        <v>118</v>
      </c>
      <c r="L232" s="1513"/>
      <c r="M232" s="1513"/>
      <c r="N232" s="1513"/>
      <c r="O232" s="1513"/>
      <c r="P232" s="1513"/>
      <c r="Q232" s="541"/>
      <c r="R232" s="541"/>
      <c r="S232" s="554"/>
      <c r="T232" s="554"/>
      <c r="U232" s="554"/>
      <c r="V232" s="554"/>
      <c r="W232" s="554"/>
      <c r="X232" s="554"/>
      <c r="Y232" s="554"/>
      <c r="Z232" s="554"/>
      <c r="AA232" s="554"/>
      <c r="AB232" s="554"/>
      <c r="AC232" s="554"/>
      <c r="AD232" s="554"/>
      <c r="AE232" s="554"/>
      <c r="AF232" s="554"/>
      <c r="AG232" s="554"/>
      <c r="AH232" s="1527">
        <v>80000</v>
      </c>
      <c r="AI232" s="1527"/>
      <c r="AJ232" s="1527"/>
      <c r="AK232" s="1527"/>
      <c r="AL232" s="1527"/>
      <c r="AM232" s="1527"/>
      <c r="AN232" s="1527"/>
      <c r="AO232" s="1513" t="s">
        <v>115</v>
      </c>
      <c r="AP232" s="1513"/>
      <c r="AQ232" s="1513"/>
      <c r="AR232" s="590"/>
      <c r="AS232" s="592"/>
      <c r="AT232" s="592"/>
      <c r="AU232" s="68"/>
      <c r="AV232" s="68"/>
      <c r="AW232" s="68"/>
      <c r="AX232" s="68"/>
      <c r="AY232" s="68"/>
      <c r="BF232" s="63"/>
    </row>
    <row r="233" spans="1:58" ht="15" customHeight="1">
      <c r="A233" s="541"/>
      <c r="B233" s="541"/>
      <c r="C233" s="1512" t="str">
        <f>IF(APNATION="","",VLOOKUP(APNATION,EXPENSEINFO,14,0))</f>
        <v>(Living expenses)</v>
      </c>
      <c r="D233" s="1512"/>
      <c r="E233" s="1512"/>
      <c r="F233" s="1512"/>
      <c r="G233" s="1512"/>
      <c r="H233" s="579"/>
      <c r="I233" s="579"/>
      <c r="J233" s="579"/>
      <c r="K233" s="1512" t="str">
        <f>IF(APNATION="","",VLOOKUP(APNATION,EXPENSEINFO,15,0))</f>
        <v>(Every month)</v>
      </c>
      <c r="L233" s="1512"/>
      <c r="M233" s="1512"/>
      <c r="N233" s="1512"/>
      <c r="O233" s="1512"/>
      <c r="P233" s="1512"/>
      <c r="Q233" s="554"/>
      <c r="R233" s="554"/>
      <c r="S233" s="554"/>
      <c r="T233" s="554"/>
      <c r="U233" s="554"/>
      <c r="V233" s="554"/>
      <c r="W233" s="554"/>
      <c r="X233" s="554"/>
      <c r="Y233" s="554"/>
      <c r="Z233" s="554"/>
      <c r="AA233" s="554"/>
      <c r="AB233" s="554"/>
      <c r="AC233" s="554"/>
      <c r="AD233" s="554"/>
      <c r="AE233" s="554"/>
      <c r="AF233" s="554"/>
      <c r="AG233" s="554"/>
      <c r="AH233" s="563"/>
      <c r="AI233" s="563"/>
      <c r="AJ233" s="563"/>
      <c r="AK233" s="563"/>
      <c r="AL233" s="563"/>
      <c r="AM233" s="563"/>
      <c r="AN233" s="563"/>
      <c r="AO233" s="563"/>
      <c r="AP233" s="554"/>
      <c r="AQ233" s="554"/>
      <c r="AR233" s="590"/>
      <c r="AS233" s="593"/>
      <c r="AT233" s="593"/>
      <c r="AU233" s="68"/>
      <c r="AV233" s="68"/>
      <c r="AW233" s="68"/>
      <c r="AX233" s="68"/>
      <c r="AY233" s="68"/>
      <c r="BF233" s="63"/>
    </row>
    <row r="234" spans="1:58" ht="15" customHeight="1">
      <c r="A234" s="1343" t="s">
        <v>119</v>
      </c>
      <c r="B234" s="1343"/>
      <c r="C234" s="1513" t="s">
        <v>120</v>
      </c>
      <c r="D234" s="1513"/>
      <c r="E234" s="1513"/>
      <c r="F234" s="1513"/>
      <c r="G234" s="1513"/>
      <c r="H234" s="1513"/>
      <c r="I234" s="1513"/>
      <c r="J234" s="1513"/>
      <c r="K234" s="1513"/>
      <c r="L234" s="1513"/>
      <c r="M234" s="1513"/>
      <c r="N234" s="1513"/>
      <c r="O234" s="1513"/>
      <c r="P234" s="1513"/>
      <c r="Q234" s="1513"/>
      <c r="R234" s="1513"/>
      <c r="S234" s="1513"/>
      <c r="T234" s="1513"/>
      <c r="U234" s="1513"/>
      <c r="V234" s="1513"/>
      <c r="W234" s="1513"/>
      <c r="X234" s="1513"/>
      <c r="Y234" s="1513"/>
      <c r="Z234" s="1513"/>
      <c r="AA234" s="1513"/>
      <c r="AB234" s="1513"/>
      <c r="AC234" s="1513"/>
      <c r="AD234" s="1513"/>
      <c r="AE234" s="1513"/>
      <c r="AF234" s="1513"/>
      <c r="AG234" s="1513"/>
      <c r="AH234" s="1513"/>
      <c r="AI234" s="1513"/>
      <c r="AJ234" s="1513"/>
      <c r="AK234" s="1513"/>
      <c r="AL234" s="1513"/>
      <c r="AM234" s="1513"/>
      <c r="AN234" s="1513"/>
      <c r="AO234" s="554"/>
      <c r="AP234" s="554"/>
      <c r="AQ234" s="554"/>
      <c r="AR234" s="590"/>
    </row>
    <row r="235" spans="1:58" ht="15" customHeight="1">
      <c r="A235" s="541"/>
      <c r="B235" s="541"/>
      <c r="C235" s="1512" t="str">
        <f>IF(APNATION="","",VLOOKUP(APNATION,EXPENSEINFO,16,0))</f>
        <v>(Payment Method. Please state the payment method in detail)</v>
      </c>
      <c r="D235" s="1512"/>
      <c r="E235" s="1512"/>
      <c r="F235" s="1512"/>
      <c r="G235" s="1512"/>
      <c r="H235" s="1512"/>
      <c r="I235" s="1512"/>
      <c r="J235" s="1512"/>
      <c r="K235" s="1512"/>
      <c r="L235" s="1512"/>
      <c r="M235" s="1512"/>
      <c r="N235" s="1512"/>
      <c r="O235" s="1512"/>
      <c r="P235" s="1512"/>
      <c r="Q235" s="1512"/>
      <c r="R235" s="1512"/>
      <c r="S235" s="1512"/>
      <c r="T235" s="1512"/>
      <c r="U235" s="1512"/>
      <c r="V235" s="1512"/>
      <c r="W235" s="1512"/>
      <c r="X235" s="1512"/>
      <c r="Y235" s="1512"/>
      <c r="Z235" s="1512"/>
      <c r="AA235" s="1512"/>
      <c r="AB235" s="1512"/>
      <c r="AC235" s="1512"/>
      <c r="AD235" s="1512"/>
      <c r="AE235" s="1512"/>
      <c r="AF235" s="1512"/>
      <c r="AG235" s="1512"/>
      <c r="AH235" s="1512"/>
      <c r="AI235" s="1512"/>
      <c r="AJ235" s="1512"/>
      <c r="AK235" s="1512"/>
      <c r="AL235" s="1512"/>
      <c r="AM235" s="1512"/>
      <c r="AN235" s="1512"/>
      <c r="AO235" s="554"/>
      <c r="AP235" s="554"/>
      <c r="AQ235" s="554"/>
      <c r="AR235" s="590"/>
    </row>
    <row r="236" spans="1:58" ht="15" customHeight="1">
      <c r="A236" s="1514"/>
      <c r="B236" s="1514"/>
      <c r="C236" s="1514"/>
      <c r="D236" s="1514"/>
      <c r="E236" s="1514"/>
      <c r="F236" s="1514"/>
      <c r="G236" s="1514"/>
      <c r="H236" s="1514"/>
      <c r="I236" s="1514"/>
      <c r="J236" s="1514"/>
      <c r="K236" s="1514"/>
      <c r="L236" s="1514"/>
      <c r="M236" s="1514"/>
      <c r="N236" s="1514"/>
      <c r="O236" s="1514"/>
      <c r="P236" s="1514"/>
      <c r="Q236" s="1514"/>
      <c r="R236" s="1514"/>
      <c r="S236" s="1514"/>
      <c r="T236" s="1514"/>
      <c r="U236" s="1514"/>
      <c r="V236" s="1514"/>
      <c r="W236" s="1514"/>
      <c r="X236" s="1514"/>
      <c r="Y236" s="1514"/>
      <c r="Z236" s="1514"/>
      <c r="AA236" s="1514"/>
      <c r="AB236" s="1514"/>
      <c r="AC236" s="1514"/>
      <c r="AD236" s="1514"/>
      <c r="AE236" s="1514"/>
      <c r="AF236" s="1514"/>
      <c r="AG236" s="1514"/>
      <c r="AH236" s="1514"/>
      <c r="AI236" s="1514"/>
      <c r="AJ236" s="1514"/>
      <c r="AK236" s="1514"/>
      <c r="AL236" s="1514"/>
      <c r="AM236" s="1514"/>
      <c r="AN236" s="1514"/>
      <c r="AO236" s="1514"/>
      <c r="AP236" s="1514"/>
      <c r="AQ236" s="1514"/>
      <c r="AR236" s="590"/>
    </row>
    <row r="237" spans="1:58" ht="15" customHeight="1">
      <c r="A237" s="1273" t="str">
        <f>IFERROR(IF(APNATION="日本語","","
"&amp;VLOOKUP(APNATION,EXPENSEINFO,3,0)),"")</f>
        <v/>
      </c>
      <c r="B237" s="1274"/>
      <c r="C237" s="1274"/>
      <c r="D237" s="1274"/>
      <c r="E237" s="1274"/>
      <c r="F237" s="1274"/>
      <c r="G237" s="1274"/>
      <c r="H237" s="1274"/>
      <c r="I237" s="1274"/>
      <c r="J237" s="1274"/>
      <c r="K237" s="1274"/>
      <c r="L237" s="1274"/>
      <c r="M237" s="1274"/>
      <c r="N237" s="1274"/>
      <c r="O237" s="1274"/>
      <c r="P237" s="1274"/>
      <c r="Q237" s="1274"/>
      <c r="R237" s="1274"/>
      <c r="S237" s="1274"/>
      <c r="T237" s="1274"/>
      <c r="U237" s="1274"/>
      <c r="V237" s="1274"/>
      <c r="W237" s="1274"/>
      <c r="X237" s="1274"/>
      <c r="Y237" s="1274"/>
      <c r="Z237" s="1274"/>
      <c r="AA237" s="1274"/>
      <c r="AB237" s="1274"/>
      <c r="AC237" s="1274"/>
      <c r="AD237" s="1274"/>
      <c r="AE237" s="1274"/>
      <c r="AF237" s="1274"/>
      <c r="AG237" s="1274"/>
      <c r="AH237" s="1274"/>
      <c r="AI237" s="1274"/>
      <c r="AJ237" s="1274"/>
      <c r="AK237" s="1274"/>
      <c r="AL237" s="1274"/>
      <c r="AM237" s="1274"/>
      <c r="AN237" s="1274"/>
      <c r="AO237" s="1274"/>
      <c r="AP237" s="1274"/>
      <c r="AQ237" s="1275"/>
      <c r="AR237" s="590"/>
    </row>
    <row r="238" spans="1:58" ht="15" customHeight="1">
      <c r="A238" s="1276"/>
      <c r="B238" s="1277"/>
      <c r="C238" s="1277"/>
      <c r="D238" s="1277"/>
      <c r="E238" s="1277"/>
      <c r="F238" s="1277"/>
      <c r="G238" s="1277"/>
      <c r="H238" s="1277"/>
      <c r="I238" s="1277"/>
      <c r="J238" s="1277"/>
      <c r="K238" s="1277"/>
      <c r="L238" s="1277"/>
      <c r="M238" s="1277"/>
      <c r="N238" s="1277"/>
      <c r="O238" s="1277"/>
      <c r="P238" s="1277"/>
      <c r="Q238" s="1277"/>
      <c r="R238" s="1277"/>
      <c r="S238" s="1277"/>
      <c r="T238" s="1277"/>
      <c r="U238" s="1277"/>
      <c r="V238" s="1277"/>
      <c r="W238" s="1277"/>
      <c r="X238" s="1277"/>
      <c r="Y238" s="1277"/>
      <c r="Z238" s="1277"/>
      <c r="AA238" s="1277"/>
      <c r="AB238" s="1277"/>
      <c r="AC238" s="1277"/>
      <c r="AD238" s="1277"/>
      <c r="AE238" s="1277"/>
      <c r="AF238" s="1277"/>
      <c r="AG238" s="1277"/>
      <c r="AH238" s="1277"/>
      <c r="AI238" s="1277"/>
      <c r="AJ238" s="1277"/>
      <c r="AK238" s="1277"/>
      <c r="AL238" s="1277"/>
      <c r="AM238" s="1277"/>
      <c r="AN238" s="1277"/>
      <c r="AO238" s="1277"/>
      <c r="AP238" s="1277"/>
      <c r="AQ238" s="1278"/>
      <c r="AR238" s="590"/>
    </row>
    <row r="239" spans="1:58" ht="15" customHeight="1">
      <c r="A239" s="1276"/>
      <c r="B239" s="1277"/>
      <c r="C239" s="1277"/>
      <c r="D239" s="1277"/>
      <c r="E239" s="1277"/>
      <c r="F239" s="1277"/>
      <c r="G239" s="1277"/>
      <c r="H239" s="1277"/>
      <c r="I239" s="1277"/>
      <c r="J239" s="1277"/>
      <c r="K239" s="1277"/>
      <c r="L239" s="1277"/>
      <c r="M239" s="1277"/>
      <c r="N239" s="1277"/>
      <c r="O239" s="1277"/>
      <c r="P239" s="1277"/>
      <c r="Q239" s="1277"/>
      <c r="R239" s="1277"/>
      <c r="S239" s="1277"/>
      <c r="T239" s="1277"/>
      <c r="U239" s="1277"/>
      <c r="V239" s="1277"/>
      <c r="W239" s="1277"/>
      <c r="X239" s="1277"/>
      <c r="Y239" s="1277"/>
      <c r="Z239" s="1277"/>
      <c r="AA239" s="1277"/>
      <c r="AB239" s="1277"/>
      <c r="AC239" s="1277"/>
      <c r="AD239" s="1277"/>
      <c r="AE239" s="1277"/>
      <c r="AF239" s="1277"/>
      <c r="AG239" s="1277"/>
      <c r="AH239" s="1277"/>
      <c r="AI239" s="1277"/>
      <c r="AJ239" s="1277"/>
      <c r="AK239" s="1277"/>
      <c r="AL239" s="1277"/>
      <c r="AM239" s="1277"/>
      <c r="AN239" s="1277"/>
      <c r="AO239" s="1277"/>
      <c r="AP239" s="1277"/>
      <c r="AQ239" s="1278"/>
      <c r="AR239" s="590"/>
    </row>
    <row r="240" spans="1:58" ht="15" customHeight="1">
      <c r="A240" s="1276"/>
      <c r="B240" s="1277"/>
      <c r="C240" s="1277"/>
      <c r="D240" s="1277"/>
      <c r="E240" s="1277"/>
      <c r="F240" s="1277"/>
      <c r="G240" s="1277"/>
      <c r="H240" s="1277"/>
      <c r="I240" s="1277"/>
      <c r="J240" s="1277"/>
      <c r="K240" s="1277"/>
      <c r="L240" s="1277"/>
      <c r="M240" s="1277"/>
      <c r="N240" s="1277"/>
      <c r="O240" s="1277"/>
      <c r="P240" s="1277"/>
      <c r="Q240" s="1277"/>
      <c r="R240" s="1277"/>
      <c r="S240" s="1277"/>
      <c r="T240" s="1277"/>
      <c r="U240" s="1277"/>
      <c r="V240" s="1277"/>
      <c r="W240" s="1277"/>
      <c r="X240" s="1277"/>
      <c r="Y240" s="1277"/>
      <c r="Z240" s="1277"/>
      <c r="AA240" s="1277"/>
      <c r="AB240" s="1277"/>
      <c r="AC240" s="1277"/>
      <c r="AD240" s="1277"/>
      <c r="AE240" s="1277"/>
      <c r="AF240" s="1277"/>
      <c r="AG240" s="1277"/>
      <c r="AH240" s="1277"/>
      <c r="AI240" s="1277"/>
      <c r="AJ240" s="1277"/>
      <c r="AK240" s="1277"/>
      <c r="AL240" s="1277"/>
      <c r="AM240" s="1277"/>
      <c r="AN240" s="1277"/>
      <c r="AO240" s="1277"/>
      <c r="AP240" s="1277"/>
      <c r="AQ240" s="1278"/>
      <c r="AR240" s="590"/>
    </row>
    <row r="241" spans="1:44" ht="15" customHeight="1">
      <c r="A241" s="1276"/>
      <c r="B241" s="1277"/>
      <c r="C241" s="1277"/>
      <c r="D241" s="1277"/>
      <c r="E241" s="1277"/>
      <c r="F241" s="1277"/>
      <c r="G241" s="1277"/>
      <c r="H241" s="1277"/>
      <c r="I241" s="1277"/>
      <c r="J241" s="1277"/>
      <c r="K241" s="1277"/>
      <c r="L241" s="1277"/>
      <c r="M241" s="1277"/>
      <c r="N241" s="1277"/>
      <c r="O241" s="1277"/>
      <c r="P241" s="1277"/>
      <c r="Q241" s="1277"/>
      <c r="R241" s="1277"/>
      <c r="S241" s="1277"/>
      <c r="T241" s="1277"/>
      <c r="U241" s="1277"/>
      <c r="V241" s="1277"/>
      <c r="W241" s="1277"/>
      <c r="X241" s="1277"/>
      <c r="Y241" s="1277"/>
      <c r="Z241" s="1277"/>
      <c r="AA241" s="1277"/>
      <c r="AB241" s="1277"/>
      <c r="AC241" s="1277"/>
      <c r="AD241" s="1277"/>
      <c r="AE241" s="1277"/>
      <c r="AF241" s="1277"/>
      <c r="AG241" s="1277"/>
      <c r="AH241" s="1277"/>
      <c r="AI241" s="1277"/>
      <c r="AJ241" s="1277"/>
      <c r="AK241" s="1277"/>
      <c r="AL241" s="1277"/>
      <c r="AM241" s="1277"/>
      <c r="AN241" s="1277"/>
      <c r="AO241" s="1277"/>
      <c r="AP241" s="1277"/>
      <c r="AQ241" s="1278"/>
      <c r="AR241" s="590"/>
    </row>
    <row r="242" spans="1:44" ht="15" customHeight="1">
      <c r="A242" s="1276"/>
      <c r="B242" s="1277"/>
      <c r="C242" s="1277"/>
      <c r="D242" s="1277"/>
      <c r="E242" s="1277"/>
      <c r="F242" s="1277"/>
      <c r="G242" s="1277"/>
      <c r="H242" s="1277"/>
      <c r="I242" s="1277"/>
      <c r="J242" s="1277"/>
      <c r="K242" s="1277"/>
      <c r="L242" s="1277"/>
      <c r="M242" s="1277"/>
      <c r="N242" s="1277"/>
      <c r="O242" s="1277"/>
      <c r="P242" s="1277"/>
      <c r="Q242" s="1277"/>
      <c r="R242" s="1277"/>
      <c r="S242" s="1277"/>
      <c r="T242" s="1277"/>
      <c r="U242" s="1277"/>
      <c r="V242" s="1277"/>
      <c r="W242" s="1277"/>
      <c r="X242" s="1277"/>
      <c r="Y242" s="1277"/>
      <c r="Z242" s="1277"/>
      <c r="AA242" s="1277"/>
      <c r="AB242" s="1277"/>
      <c r="AC242" s="1277"/>
      <c r="AD242" s="1277"/>
      <c r="AE242" s="1277"/>
      <c r="AF242" s="1277"/>
      <c r="AG242" s="1277"/>
      <c r="AH242" s="1277"/>
      <c r="AI242" s="1277"/>
      <c r="AJ242" s="1277"/>
      <c r="AK242" s="1277"/>
      <c r="AL242" s="1277"/>
      <c r="AM242" s="1277"/>
      <c r="AN242" s="1277"/>
      <c r="AO242" s="1277"/>
      <c r="AP242" s="1277"/>
      <c r="AQ242" s="1278"/>
      <c r="AR242" s="590"/>
    </row>
    <row r="243" spans="1:44" ht="15" customHeight="1">
      <c r="A243" s="1276"/>
      <c r="B243" s="1277"/>
      <c r="C243" s="1277"/>
      <c r="D243" s="1277"/>
      <c r="E243" s="1277"/>
      <c r="F243" s="1277"/>
      <c r="G243" s="1277"/>
      <c r="H243" s="1277"/>
      <c r="I243" s="1277"/>
      <c r="J243" s="1277"/>
      <c r="K243" s="1277"/>
      <c r="L243" s="1277"/>
      <c r="M243" s="1277"/>
      <c r="N243" s="1277"/>
      <c r="O243" s="1277"/>
      <c r="P243" s="1277"/>
      <c r="Q243" s="1277"/>
      <c r="R243" s="1277"/>
      <c r="S243" s="1277"/>
      <c r="T243" s="1277"/>
      <c r="U243" s="1277"/>
      <c r="V243" s="1277"/>
      <c r="W243" s="1277"/>
      <c r="X243" s="1277"/>
      <c r="Y243" s="1277"/>
      <c r="Z243" s="1277"/>
      <c r="AA243" s="1277"/>
      <c r="AB243" s="1277"/>
      <c r="AC243" s="1277"/>
      <c r="AD243" s="1277"/>
      <c r="AE243" s="1277"/>
      <c r="AF243" s="1277"/>
      <c r="AG243" s="1277"/>
      <c r="AH243" s="1277"/>
      <c r="AI243" s="1277"/>
      <c r="AJ243" s="1277"/>
      <c r="AK243" s="1277"/>
      <c r="AL243" s="1277"/>
      <c r="AM243" s="1277"/>
      <c r="AN243" s="1277"/>
      <c r="AO243" s="1277"/>
      <c r="AP243" s="1277"/>
      <c r="AQ243" s="1278"/>
      <c r="AR243" s="590"/>
    </row>
    <row r="244" spans="1:44" ht="15" customHeight="1">
      <c r="A244" s="1279"/>
      <c r="B244" s="1280"/>
      <c r="C244" s="1280"/>
      <c r="D244" s="1280"/>
      <c r="E244" s="1280"/>
      <c r="F244" s="1280"/>
      <c r="G244" s="1280"/>
      <c r="H244" s="1280"/>
      <c r="I244" s="1280"/>
      <c r="J244" s="1280"/>
      <c r="K244" s="1280"/>
      <c r="L244" s="1280"/>
      <c r="M244" s="1280"/>
      <c r="N244" s="1280"/>
      <c r="O244" s="1280"/>
      <c r="P244" s="1280"/>
      <c r="Q244" s="1280"/>
      <c r="R244" s="1280"/>
      <c r="S244" s="1280"/>
      <c r="T244" s="1280"/>
      <c r="U244" s="1280"/>
      <c r="V244" s="1280"/>
      <c r="W244" s="1280"/>
      <c r="X244" s="1280"/>
      <c r="Y244" s="1280"/>
      <c r="Z244" s="1280"/>
      <c r="AA244" s="1280"/>
      <c r="AB244" s="1280"/>
      <c r="AC244" s="1280"/>
      <c r="AD244" s="1280"/>
      <c r="AE244" s="1280"/>
      <c r="AF244" s="1280"/>
      <c r="AG244" s="1280"/>
      <c r="AH244" s="1280"/>
      <c r="AI244" s="1280"/>
      <c r="AJ244" s="1280"/>
      <c r="AK244" s="1280"/>
      <c r="AL244" s="1280"/>
      <c r="AM244" s="1280"/>
      <c r="AN244" s="1280"/>
      <c r="AO244" s="1280"/>
      <c r="AP244" s="1280"/>
      <c r="AQ244" s="1281"/>
      <c r="AR244" s="590"/>
    </row>
    <row r="245" spans="1:44" ht="15" customHeight="1">
      <c r="A245" s="1343"/>
      <c r="B245" s="1343"/>
      <c r="C245" s="1343"/>
      <c r="D245" s="1343"/>
      <c r="E245" s="1343"/>
      <c r="F245" s="1343"/>
      <c r="G245" s="1343"/>
      <c r="H245" s="1343"/>
      <c r="I245" s="1343"/>
      <c r="J245" s="1343"/>
      <c r="K245" s="1343"/>
      <c r="L245" s="1343"/>
      <c r="M245" s="1343"/>
      <c r="N245" s="1343"/>
      <c r="O245" s="1343"/>
      <c r="P245" s="1343"/>
      <c r="Q245" s="1343"/>
      <c r="R245" s="1343"/>
      <c r="S245" s="1343"/>
      <c r="T245" s="1343"/>
      <c r="U245" s="1343"/>
      <c r="V245" s="1343"/>
      <c r="W245" s="1343"/>
      <c r="X245" s="1343"/>
      <c r="Y245" s="1343"/>
      <c r="Z245" s="1343"/>
      <c r="AA245" s="1343"/>
      <c r="AB245" s="1343"/>
      <c r="AC245" s="1343"/>
      <c r="AD245" s="1343"/>
      <c r="AE245" s="1343"/>
      <c r="AF245" s="1343"/>
      <c r="AG245" s="1343"/>
      <c r="AH245" s="1343"/>
      <c r="AI245" s="1343"/>
      <c r="AJ245" s="1343"/>
      <c r="AK245" s="1343"/>
      <c r="AL245" s="1343"/>
      <c r="AM245" s="1343"/>
      <c r="AN245" s="1343"/>
      <c r="AO245" s="1343"/>
      <c r="AP245" s="1343"/>
      <c r="AQ245" s="1343"/>
      <c r="AR245" s="590"/>
    </row>
    <row r="246" spans="1:44" ht="15" customHeight="1">
      <c r="A246" s="1515" t="s">
        <v>42</v>
      </c>
      <c r="B246" s="1515"/>
      <c r="C246" s="1515"/>
      <c r="D246" s="1515"/>
      <c r="E246" s="1516" t="str">
        <f>IF(APNATION="","",VLOOKUP(APNATION,EXPENSEINFO,18,0))</f>
        <v>(Expenses Payer)</v>
      </c>
      <c r="F246" s="1516"/>
      <c r="G246" s="1516"/>
      <c r="H246" s="1516"/>
      <c r="I246" s="1516"/>
      <c r="J246" s="1516"/>
      <c r="K246" s="1516"/>
      <c r="L246" s="1516"/>
      <c r="M246" s="1516"/>
      <c r="N246" s="1516"/>
      <c r="O246" s="1516"/>
      <c r="P246" s="1516"/>
      <c r="Q246" s="1516"/>
      <c r="R246" s="1516"/>
      <c r="S246" s="1516"/>
      <c r="T246" s="1516"/>
      <c r="U246" s="1516"/>
      <c r="V246" s="1516"/>
      <c r="W246" s="1516"/>
      <c r="X246" s="1516"/>
      <c r="Y246" s="1516"/>
      <c r="Z246" s="1516"/>
      <c r="AA246" s="1516"/>
      <c r="AB246" s="1516"/>
      <c r="AC246" s="1516"/>
      <c r="AD246" s="1516"/>
      <c r="AE246" s="1516"/>
      <c r="AF246" s="1516"/>
      <c r="AG246" s="1516"/>
      <c r="AH246" s="1516"/>
      <c r="AI246" s="1516"/>
      <c r="AJ246" s="1516"/>
      <c r="AK246" s="1516"/>
      <c r="AL246" s="1516"/>
      <c r="AM246" s="1516"/>
      <c r="AN246" s="1516"/>
      <c r="AO246" s="1516"/>
      <c r="AP246" s="1516"/>
      <c r="AQ246" s="1516"/>
      <c r="AR246" s="590"/>
    </row>
    <row r="247" spans="1:44" ht="15" customHeight="1">
      <c r="B247" s="580"/>
      <c r="C247" s="580"/>
      <c r="D247" s="580"/>
      <c r="E247" s="580"/>
      <c r="G247" s="581"/>
      <c r="H247" s="581"/>
      <c r="I247" s="581"/>
      <c r="J247" s="581"/>
      <c r="K247" s="581"/>
      <c r="L247" s="581"/>
      <c r="M247" s="581"/>
      <c r="N247" s="581"/>
      <c r="O247" s="581"/>
      <c r="P247" s="581"/>
      <c r="Q247" s="581"/>
      <c r="R247" s="581"/>
      <c r="S247" s="581"/>
      <c r="T247" s="581"/>
      <c r="U247" s="581"/>
      <c r="V247" s="581"/>
      <c r="W247" s="581"/>
      <c r="X247" s="581"/>
      <c r="Y247" s="581"/>
      <c r="Z247" s="581"/>
      <c r="AA247" s="540"/>
      <c r="AC247" s="539"/>
      <c r="AD247" s="539"/>
      <c r="AF247" s="1517"/>
      <c r="AG247" s="1517"/>
      <c r="AH247" s="1517"/>
      <c r="AI247" s="541"/>
      <c r="AJ247" s="563"/>
      <c r="AK247" s="563"/>
      <c r="AL247" s="563"/>
      <c r="AM247" s="563"/>
      <c r="AN247" s="563"/>
      <c r="AO247" s="563"/>
      <c r="AP247" s="563"/>
      <c r="AQ247" s="563"/>
      <c r="AR247" s="590"/>
    </row>
    <row r="248" spans="1:44" ht="15" customHeight="1">
      <c r="A248" s="1518" t="str">
        <f>IF(APNATION="","",VLOOKUP(APNATION,FORMINFO,20,0))&amp;" 　"</f>
        <v>Home Address 　</v>
      </c>
      <c r="B248" s="1518"/>
      <c r="C248" s="1518"/>
      <c r="D248" s="1518"/>
      <c r="E248" s="1518"/>
      <c r="F248" s="1449" t="str">
        <f>UPPER(FORMULAS!K5)</f>
        <v xml:space="preserve">
</v>
      </c>
      <c r="G248" s="1449"/>
      <c r="H248" s="1449"/>
      <c r="I248" s="1449"/>
      <c r="J248" s="1449"/>
      <c r="K248" s="1449"/>
      <c r="L248" s="1449"/>
      <c r="M248" s="1449"/>
      <c r="N248" s="1449"/>
      <c r="O248" s="1449"/>
      <c r="P248" s="1449"/>
      <c r="Q248" s="1449"/>
      <c r="R248" s="1449"/>
      <c r="S248" s="1449"/>
      <c r="T248" s="1449"/>
      <c r="U248" s="1449"/>
      <c r="V248" s="1449"/>
      <c r="W248" s="1449"/>
      <c r="X248" s="1449"/>
      <c r="Y248" s="1449"/>
      <c r="Z248" s="1449"/>
      <c r="AA248" s="540"/>
      <c r="AB248" s="1519" t="str">
        <f>IF(APNATION="","",VLOOKUP(APNATION,FORMINFO,21,0))&amp;" 　"</f>
        <v>Telephone Number 　</v>
      </c>
      <c r="AC248" s="1519"/>
      <c r="AD248" s="1519"/>
      <c r="AE248" s="1519"/>
      <c r="AF248" s="1519"/>
      <c r="AG248" s="1519"/>
      <c r="AH248" s="1519"/>
      <c r="AI248" s="541"/>
      <c r="AJ248" s="563"/>
      <c r="AK248" s="563"/>
      <c r="AL248" s="563"/>
      <c r="AM248" s="563"/>
      <c r="AN248" s="563"/>
      <c r="AO248" s="563"/>
      <c r="AP248" s="563"/>
      <c r="AQ248" s="563"/>
      <c r="AR248" s="590"/>
    </row>
    <row r="249" spans="1:44" ht="15" customHeight="1">
      <c r="A249" s="1520" t="s">
        <v>121</v>
      </c>
      <c r="B249" s="1520"/>
      <c r="C249" s="1520"/>
      <c r="D249" s="1520"/>
      <c r="E249" s="1520"/>
      <c r="F249" s="1450"/>
      <c r="G249" s="1450"/>
      <c r="H249" s="1450"/>
      <c r="I249" s="1450"/>
      <c r="J249" s="1450"/>
      <c r="K249" s="1450"/>
      <c r="L249" s="1450"/>
      <c r="M249" s="1450"/>
      <c r="N249" s="1450"/>
      <c r="O249" s="1450"/>
      <c r="P249" s="1450"/>
      <c r="Q249" s="1450"/>
      <c r="R249" s="1450"/>
      <c r="S249" s="1450"/>
      <c r="T249" s="1450"/>
      <c r="U249" s="1450"/>
      <c r="V249" s="1450"/>
      <c r="W249" s="1450"/>
      <c r="X249" s="1450"/>
      <c r="Y249" s="1450"/>
      <c r="Z249" s="1450"/>
      <c r="AA249" s="540"/>
      <c r="AB249" s="1521" t="s">
        <v>122</v>
      </c>
      <c r="AC249" s="1521"/>
      <c r="AD249" s="1521"/>
      <c r="AE249" s="1521"/>
      <c r="AF249" s="1521"/>
      <c r="AG249" s="1521"/>
      <c r="AH249" s="1521"/>
      <c r="AI249" s="1419" t="str">
        <f>$H$23</f>
        <v/>
      </c>
      <c r="AJ249" s="1419"/>
      <c r="AK249" s="1522">
        <f>$K$23</f>
        <v>0</v>
      </c>
      <c r="AL249" s="1522"/>
      <c r="AM249" s="1522"/>
      <c r="AN249" s="1522"/>
      <c r="AO249" s="1522"/>
      <c r="AP249" s="1522"/>
      <c r="AQ249" s="1522"/>
      <c r="AR249" s="590"/>
    </row>
    <row r="250" spans="1:44" ht="15" customHeight="1">
      <c r="A250" s="582"/>
      <c r="B250" s="582"/>
      <c r="C250" s="582"/>
      <c r="D250" s="582"/>
      <c r="E250" s="582"/>
      <c r="F250" s="583"/>
      <c r="G250" s="583"/>
      <c r="H250" s="583"/>
      <c r="I250" s="583"/>
      <c r="J250" s="583"/>
      <c r="K250" s="583"/>
      <c r="L250" s="583"/>
      <c r="M250" s="583"/>
      <c r="N250" s="583"/>
      <c r="O250" s="583"/>
      <c r="P250" s="583"/>
      <c r="Q250" s="583"/>
      <c r="R250" s="583"/>
      <c r="S250" s="583"/>
      <c r="T250" s="583"/>
      <c r="U250" s="583"/>
      <c r="V250" s="583"/>
      <c r="W250" s="583"/>
      <c r="X250" s="583"/>
      <c r="Y250" s="583"/>
      <c r="Z250" s="583"/>
      <c r="AA250" s="582"/>
      <c r="AB250" s="582"/>
      <c r="AC250" s="582"/>
      <c r="AD250" s="582"/>
      <c r="AE250" s="582"/>
      <c r="AF250" s="582"/>
      <c r="AG250" s="582"/>
      <c r="AH250" s="542"/>
      <c r="AI250" s="542"/>
      <c r="AJ250" s="586"/>
      <c r="AK250" s="586"/>
      <c r="AL250" s="586"/>
      <c r="AM250" s="586"/>
      <c r="AN250" s="586"/>
      <c r="AO250" s="586"/>
      <c r="AP250" s="586"/>
      <c r="AQ250" s="586"/>
      <c r="AR250" s="590"/>
    </row>
    <row r="251" spans="1:44" ht="15" customHeight="1">
      <c r="A251" s="1523" t="str">
        <f>IF(APNATION="","",VLOOKUP(APNATION,NAMETR,2,0))&amp;" 　"</f>
        <v>Full Name 　</v>
      </c>
      <c r="B251" s="1523"/>
      <c r="C251" s="1523"/>
      <c r="D251" s="1523"/>
      <c r="E251" s="1523"/>
      <c r="F251" s="1451"/>
      <c r="G251" s="1451"/>
      <c r="H251" s="1451"/>
      <c r="I251" s="1451"/>
      <c r="J251" s="1451"/>
      <c r="K251" s="1451"/>
      <c r="L251" s="1451"/>
      <c r="M251" s="1451"/>
      <c r="N251" s="1451"/>
      <c r="O251" s="1451"/>
      <c r="P251" s="1451"/>
      <c r="Q251" s="1451"/>
      <c r="R251" s="1451"/>
      <c r="S251" s="1451"/>
      <c r="T251" s="1451"/>
      <c r="U251" s="1451"/>
      <c r="V251" s="1451"/>
      <c r="W251" s="1451"/>
      <c r="X251" s="1451"/>
      <c r="Y251" s="1451"/>
      <c r="Z251" s="1451"/>
      <c r="AA251" s="1524" t="str">
        <f>IF(APNATION="","",VLOOKUP(APNATION,FORMINFO,60,0))&amp;" 　"</f>
        <v>Relationship to Applicant 　</v>
      </c>
      <c r="AB251" s="1524"/>
      <c r="AC251" s="1524"/>
      <c r="AD251" s="1524"/>
      <c r="AE251" s="1524"/>
      <c r="AF251" s="1524"/>
      <c r="AG251" s="1524"/>
      <c r="AH251" s="1524"/>
      <c r="AI251" s="1525" t="str">
        <f>IFERROR(IF(OR(APNATION="日本語",APNATION="中国"),"",VLOOKUP(SPONSORRELATIONSHIP,SPONSORTRANSLATION,2,0)),"")</f>
        <v/>
      </c>
      <c r="AJ251" s="1525"/>
      <c r="AK251" s="1525"/>
      <c r="AL251" s="1525"/>
      <c r="AM251" s="1525"/>
      <c r="AN251" s="1525"/>
      <c r="AO251" s="1525"/>
      <c r="AP251" s="1525"/>
      <c r="AQ251" s="1525"/>
      <c r="AR251" s="590"/>
    </row>
    <row r="252" spans="1:44" ht="15" customHeight="1">
      <c r="A252" s="1290" t="s">
        <v>123</v>
      </c>
      <c r="B252" s="1290"/>
      <c r="C252" s="1290"/>
      <c r="D252" s="1290"/>
      <c r="E252" s="1290"/>
      <c r="F252" s="1452"/>
      <c r="G252" s="1452"/>
      <c r="H252" s="1452"/>
      <c r="I252" s="1452"/>
      <c r="J252" s="1452"/>
      <c r="K252" s="1452"/>
      <c r="L252" s="1452"/>
      <c r="M252" s="1452"/>
      <c r="N252" s="1452"/>
      <c r="O252" s="1452"/>
      <c r="P252" s="1452"/>
      <c r="Q252" s="1452"/>
      <c r="R252" s="1452"/>
      <c r="S252" s="1452"/>
      <c r="T252" s="1452"/>
      <c r="U252" s="1452"/>
      <c r="V252" s="1452"/>
      <c r="W252" s="1452"/>
      <c r="X252" s="1452"/>
      <c r="Y252" s="1452"/>
      <c r="Z252" s="1452"/>
      <c r="AB252" s="1291" t="s">
        <v>124</v>
      </c>
      <c r="AC252" s="1291"/>
      <c r="AD252" s="1291"/>
      <c r="AE252" s="1291"/>
      <c r="AF252" s="1291"/>
      <c r="AG252" s="1291"/>
      <c r="AH252" s="1291"/>
      <c r="AI252" s="1292" t="str">
        <f>UPPER(Information!AH64)</f>
        <v/>
      </c>
      <c r="AJ252" s="1292"/>
      <c r="AK252" s="1292"/>
      <c r="AL252" s="1292"/>
      <c r="AM252" s="1292"/>
      <c r="AN252" s="1292"/>
      <c r="AO252" s="1292"/>
      <c r="AP252" s="1292"/>
      <c r="AQ252" s="1292"/>
      <c r="AR252" s="574"/>
    </row>
    <row r="253" spans="1:44" ht="15" customHeight="1">
      <c r="A253" s="542"/>
      <c r="B253" s="1266" t="str">
        <f>SCHOOLNAME</f>
        <v>進和外語アカデミー</v>
      </c>
      <c r="C253" s="1266"/>
      <c r="D253" s="1266"/>
      <c r="E253" s="1266"/>
      <c r="F253" s="1266"/>
      <c r="G253" s="1266"/>
      <c r="H253" s="1266"/>
      <c r="I253" s="1266"/>
      <c r="J253" s="1266"/>
      <c r="K253" s="1266"/>
      <c r="L253" s="1266"/>
      <c r="M253" s="1266"/>
      <c r="N253" s="1266"/>
      <c r="O253" s="1266"/>
      <c r="P253" s="584"/>
      <c r="Q253" s="584"/>
      <c r="R253" s="584"/>
      <c r="S253" s="584"/>
      <c r="T253" s="584"/>
      <c r="U253" s="584"/>
      <c r="V253" s="584"/>
      <c r="W253" s="584"/>
      <c r="X253" s="584"/>
      <c r="Y253" s="584"/>
      <c r="Z253" s="584"/>
      <c r="AA253" s="584"/>
      <c r="AB253" s="584"/>
      <c r="AC253" s="584"/>
      <c r="AD253" s="585"/>
      <c r="AE253" s="585"/>
      <c r="AF253" s="541"/>
      <c r="AG253" s="541"/>
      <c r="AH253" s="541"/>
      <c r="AI253" s="541"/>
      <c r="AJ253" s="541"/>
      <c r="AK253" s="541"/>
      <c r="AL253" s="541"/>
      <c r="AM253" s="541"/>
      <c r="AN253" s="541"/>
      <c r="AO253" s="541"/>
      <c r="AP253" s="541"/>
      <c r="AQ253" s="541"/>
      <c r="AR253" s="594"/>
    </row>
    <row r="254" spans="1:44" ht="15" customHeight="1">
      <c r="A254" s="541"/>
      <c r="B254" s="1266"/>
      <c r="C254" s="1266"/>
      <c r="D254" s="1266"/>
      <c r="E254" s="1266"/>
      <c r="F254" s="1266"/>
      <c r="G254" s="1266"/>
      <c r="H254" s="1266"/>
      <c r="I254" s="1266"/>
      <c r="J254" s="1266"/>
      <c r="K254" s="1266"/>
      <c r="L254" s="1266"/>
      <c r="M254" s="1266"/>
      <c r="N254" s="1266"/>
      <c r="O254" s="1266"/>
      <c r="P254" s="538"/>
      <c r="Q254" s="538"/>
      <c r="R254" s="538"/>
      <c r="S254" s="538"/>
      <c r="T254" s="538"/>
      <c r="U254" s="538"/>
      <c r="V254" s="541"/>
      <c r="W254" s="541"/>
      <c r="X254" s="1293" t="str">
        <f>IF(APNATION="","",VLOOKUP(APNATION,RESUMEINFO,14,0))</f>
        <v>Creation Date</v>
      </c>
      <c r="Y254" s="1293"/>
      <c r="Z254" s="1293"/>
      <c r="AA254" s="1293"/>
      <c r="AB254" s="1293"/>
      <c r="AC254" s="1293"/>
      <c r="AD254" s="1293"/>
      <c r="AE254" s="1293"/>
      <c r="AF254" s="1293"/>
      <c r="AG254" s="1293"/>
      <c r="AH254" s="1293"/>
      <c r="AI254" s="1261">
        <f>Information!Q2</f>
        <v>45537</v>
      </c>
      <c r="AJ254" s="1261"/>
      <c r="AK254" s="1261"/>
      <c r="AL254" s="1261"/>
      <c r="AM254" s="1261"/>
      <c r="AN254" s="1261"/>
      <c r="AO254" s="1261"/>
      <c r="AP254" s="1261"/>
      <c r="AQ254" s="1261"/>
      <c r="AR254" s="590"/>
    </row>
    <row r="255" spans="1:44" ht="15" customHeight="1">
      <c r="A255" s="537"/>
      <c r="B255" s="821" t="str">
        <f>SCHOOLNAMEEN</f>
        <v>Shinwa Foreign Language Academy</v>
      </c>
      <c r="C255" s="821"/>
      <c r="D255" s="821"/>
      <c r="E255" s="821"/>
      <c r="F255" s="821"/>
      <c r="G255" s="821"/>
      <c r="H255" s="821"/>
      <c r="I255" s="821"/>
      <c r="J255" s="821"/>
      <c r="K255" s="821"/>
      <c r="L255" s="821"/>
      <c r="M255" s="821"/>
      <c r="N255" s="821"/>
      <c r="O255" s="821"/>
      <c r="P255" s="538"/>
      <c r="Q255" s="538"/>
      <c r="R255" s="538"/>
      <c r="S255" s="538"/>
      <c r="T255" s="538"/>
      <c r="U255" s="538"/>
      <c r="V255" s="541"/>
      <c r="W255" s="541"/>
      <c r="X255" s="1294" t="s">
        <v>125</v>
      </c>
      <c r="Y255" s="1294"/>
      <c r="Z255" s="1294"/>
      <c r="AA255" s="1294"/>
      <c r="AB255" s="1294"/>
      <c r="AC255" s="1294"/>
      <c r="AD255" s="1294"/>
      <c r="AE255" s="1294"/>
      <c r="AF255" s="1294"/>
      <c r="AG255" s="1294"/>
      <c r="AH255" s="1294"/>
      <c r="AI255" s="1262"/>
      <c r="AJ255" s="1262"/>
      <c r="AK255" s="1262"/>
      <c r="AL255" s="1262"/>
      <c r="AM255" s="1262"/>
      <c r="AN255" s="1262"/>
      <c r="AO255" s="1262"/>
      <c r="AP255" s="1262"/>
      <c r="AQ255" s="1262"/>
      <c r="AR255" s="590"/>
    </row>
    <row r="256" spans="1:44" ht="15" customHeight="1">
      <c r="A256" s="537"/>
      <c r="B256" s="823" t="str">
        <f>SCHOOLADDRESS</f>
        <v>〒169-0075 東京都新宿区高田馬場 2-14-30</v>
      </c>
      <c r="C256" s="823"/>
      <c r="D256" s="823"/>
      <c r="E256" s="823"/>
      <c r="F256" s="823"/>
      <c r="G256" s="823"/>
      <c r="H256" s="823"/>
      <c r="I256" s="823"/>
      <c r="J256" s="823"/>
      <c r="K256" s="823"/>
      <c r="L256" s="823"/>
      <c r="M256" s="823"/>
      <c r="N256" s="823"/>
      <c r="O256" s="823"/>
      <c r="P256" s="541"/>
      <c r="Q256" s="541"/>
      <c r="R256" s="541"/>
      <c r="S256" s="541"/>
      <c r="T256" s="541"/>
      <c r="U256" s="541"/>
      <c r="V256" s="541"/>
      <c r="W256" s="541"/>
      <c r="X256" s="537"/>
      <c r="Y256" s="541"/>
      <c r="Z256" s="541"/>
      <c r="AA256" s="537"/>
      <c r="AB256" s="541"/>
      <c r="AC256" s="541"/>
      <c r="AD256" s="541"/>
      <c r="AE256" s="554"/>
      <c r="AF256" s="562"/>
      <c r="AG256" s="541"/>
      <c r="AH256" s="541"/>
      <c r="AI256" s="541"/>
      <c r="AJ256" s="541"/>
      <c r="AK256" s="541"/>
      <c r="AL256" s="541"/>
      <c r="AM256" s="541"/>
      <c r="AN256" s="541"/>
      <c r="AO256" s="541"/>
      <c r="AP256" s="541"/>
      <c r="AQ256" s="541"/>
      <c r="AR256" s="590"/>
    </row>
    <row r="257" spans="1:44" ht="15" customHeight="1">
      <c r="A257" s="540"/>
      <c r="B257" s="824" t="str">
        <f>SCHOOLPHONE</f>
        <v>TEL: 03-6233-8175　　　FAX: 03-6233-8176</v>
      </c>
      <c r="C257" s="824"/>
      <c r="D257" s="824"/>
      <c r="E257" s="824"/>
      <c r="F257" s="824"/>
      <c r="G257" s="824"/>
      <c r="H257" s="824"/>
      <c r="I257" s="824"/>
      <c r="J257" s="824"/>
      <c r="K257" s="824"/>
      <c r="L257" s="824"/>
      <c r="M257" s="824"/>
      <c r="N257" s="824"/>
      <c r="O257" s="824"/>
      <c r="P257" s="540"/>
      <c r="Q257" s="540"/>
      <c r="R257" s="540"/>
      <c r="S257" s="540"/>
      <c r="T257" s="540"/>
      <c r="U257" s="540"/>
      <c r="V257" s="540"/>
      <c r="W257" s="540"/>
      <c r="X257" s="540"/>
      <c r="Y257" s="540"/>
      <c r="Z257" s="540"/>
      <c r="AA257" s="540"/>
      <c r="AB257" s="540"/>
      <c r="AC257" s="540"/>
      <c r="AD257" s="540"/>
      <c r="AE257" s="540"/>
      <c r="AF257" s="540"/>
      <c r="AG257" s="540"/>
      <c r="AH257" s="540"/>
      <c r="AI257" s="540"/>
      <c r="AJ257" s="540"/>
      <c r="AK257" s="540"/>
      <c r="AL257" s="540"/>
      <c r="AM257" s="540"/>
      <c r="AN257" s="540"/>
      <c r="AO257" s="540"/>
      <c r="AP257" s="540"/>
      <c r="AQ257" s="540"/>
      <c r="AR257" s="590"/>
    </row>
    <row r="258" spans="1:44" ht="15" customHeight="1">
      <c r="A258" s="540"/>
      <c r="B258" s="540"/>
      <c r="C258" s="540"/>
      <c r="D258" s="540"/>
      <c r="E258" s="540"/>
      <c r="F258" s="540"/>
      <c r="G258" s="540"/>
      <c r="H258" s="540"/>
      <c r="I258" s="540"/>
      <c r="J258" s="540"/>
      <c r="K258" s="540"/>
      <c r="L258" s="540"/>
      <c r="M258" s="540"/>
      <c r="N258" s="540"/>
      <c r="O258" s="540"/>
      <c r="P258" s="540"/>
      <c r="Q258" s="540"/>
      <c r="R258" s="540"/>
      <c r="S258" s="540"/>
      <c r="T258" s="540"/>
      <c r="U258" s="540"/>
      <c r="V258" s="540"/>
      <c r="W258" s="540"/>
      <c r="X258" s="540"/>
      <c r="Y258" s="540"/>
      <c r="Z258" s="540"/>
      <c r="AA258" s="540"/>
      <c r="AB258" s="540"/>
      <c r="AC258" s="540"/>
      <c r="AD258" s="540"/>
      <c r="AE258" s="540"/>
      <c r="AF258" s="540"/>
      <c r="AG258" s="540"/>
      <c r="AH258" s="540"/>
      <c r="AI258" s="540"/>
      <c r="AJ258" s="540"/>
      <c r="AK258" s="540"/>
      <c r="AL258" s="540"/>
      <c r="AM258" s="540"/>
      <c r="AN258" s="540"/>
      <c r="AO258" s="540"/>
      <c r="AP258" s="540"/>
      <c r="AQ258" s="540"/>
      <c r="AR258" s="590"/>
    </row>
    <row r="259" spans="1:44" ht="15" customHeight="1">
      <c r="A259" s="595"/>
      <c r="B259" s="595"/>
      <c r="C259" s="595"/>
      <c r="D259" s="595"/>
      <c r="E259" s="595"/>
      <c r="F259" s="595"/>
      <c r="G259" s="595"/>
      <c r="H259" s="595"/>
      <c r="I259" s="595"/>
      <c r="J259" s="595"/>
      <c r="K259" s="595"/>
      <c r="L259" s="595"/>
      <c r="M259" s="595"/>
      <c r="N259" s="595"/>
      <c r="O259" s="595"/>
      <c r="P259" s="595"/>
      <c r="Q259" s="595"/>
      <c r="R259" s="595"/>
      <c r="S259" s="595"/>
      <c r="T259" s="595"/>
      <c r="U259" s="595"/>
      <c r="V259" s="595"/>
      <c r="W259" s="595"/>
      <c r="X259" s="595"/>
      <c r="Y259" s="595"/>
      <c r="Z259" s="595"/>
      <c r="AA259" s="595"/>
      <c r="AB259" s="595"/>
      <c r="AC259" s="595"/>
      <c r="AD259" s="595"/>
      <c r="AE259" s="595"/>
      <c r="AF259" s="595"/>
      <c r="AG259" s="595"/>
      <c r="AH259" s="595"/>
      <c r="AI259" s="595"/>
      <c r="AJ259" s="595"/>
      <c r="AK259" s="595"/>
      <c r="AL259" s="595"/>
      <c r="AM259" s="595"/>
      <c r="AN259" s="595"/>
      <c r="AO259" s="595"/>
      <c r="AP259" s="595"/>
      <c r="AQ259" s="595"/>
      <c r="AR259" s="590"/>
    </row>
    <row r="260" spans="1:44" ht="15" customHeight="1">
      <c r="A260" s="595"/>
      <c r="B260" s="595"/>
      <c r="C260" s="595"/>
      <c r="D260" s="595"/>
      <c r="E260" s="595"/>
      <c r="F260" s="595"/>
      <c r="G260" s="595"/>
      <c r="H260" s="595"/>
      <c r="I260" s="595"/>
      <c r="J260" s="595"/>
      <c r="K260" s="595"/>
      <c r="L260" s="595"/>
      <c r="M260" s="595"/>
      <c r="N260" s="595"/>
      <c r="O260" s="595"/>
      <c r="P260" s="595"/>
      <c r="Q260" s="595"/>
      <c r="R260" s="595"/>
      <c r="S260" s="595"/>
      <c r="T260" s="595"/>
      <c r="U260" s="595"/>
      <c r="V260" s="595"/>
      <c r="W260" s="595"/>
      <c r="X260" s="595"/>
      <c r="Y260" s="595"/>
      <c r="Z260" s="595"/>
      <c r="AA260" s="595"/>
      <c r="AB260" s="595"/>
      <c r="AC260" s="595"/>
      <c r="AD260" s="595"/>
      <c r="AE260" s="595"/>
      <c r="AF260" s="595"/>
      <c r="AG260" s="595"/>
      <c r="AH260" s="595"/>
      <c r="AI260" s="595"/>
      <c r="AJ260" s="595"/>
      <c r="AK260" s="595"/>
      <c r="AL260" s="595"/>
      <c r="AM260" s="595"/>
      <c r="AN260" s="595"/>
      <c r="AO260" s="595"/>
      <c r="AP260" s="595"/>
      <c r="AQ260" s="595"/>
      <c r="AR260" s="590"/>
    </row>
    <row r="261" spans="1:44" ht="15" customHeight="1">
      <c r="A261" s="595"/>
      <c r="B261" s="595"/>
      <c r="C261" s="595"/>
      <c r="D261" s="595"/>
      <c r="E261" s="595"/>
      <c r="F261" s="595"/>
      <c r="G261" s="595"/>
      <c r="H261" s="595"/>
      <c r="I261" s="595"/>
      <c r="J261" s="595"/>
      <c r="K261" s="595"/>
      <c r="L261" s="595"/>
      <c r="M261" s="595"/>
      <c r="N261" s="595"/>
      <c r="O261" s="595"/>
      <c r="P261" s="595"/>
      <c r="Q261" s="595"/>
      <c r="R261" s="595"/>
      <c r="S261" s="595"/>
      <c r="T261" s="595"/>
      <c r="U261" s="595"/>
      <c r="V261" s="595"/>
      <c r="W261" s="595"/>
      <c r="X261" s="595"/>
      <c r="Y261" s="595"/>
      <c r="Z261" s="595"/>
      <c r="AA261" s="595"/>
      <c r="AB261" s="595"/>
      <c r="AC261" s="595"/>
      <c r="AD261" s="595"/>
      <c r="AE261" s="595"/>
      <c r="AF261" s="595"/>
      <c r="AG261" s="595"/>
      <c r="AH261" s="595"/>
      <c r="AI261" s="595"/>
      <c r="AJ261" s="595"/>
      <c r="AK261" s="595"/>
      <c r="AL261" s="595"/>
      <c r="AM261" s="595"/>
      <c r="AN261" s="595"/>
      <c r="AO261" s="595"/>
      <c r="AP261" s="595"/>
      <c r="AQ261" s="595"/>
      <c r="AR261" s="590"/>
    </row>
    <row r="262" spans="1:44" ht="15" customHeight="1">
      <c r="A262" s="595"/>
      <c r="B262" s="595"/>
      <c r="C262" s="595"/>
      <c r="D262" s="595"/>
      <c r="E262" s="595"/>
      <c r="F262" s="595"/>
      <c r="G262" s="595"/>
      <c r="H262" s="595"/>
      <c r="I262" s="595"/>
      <c r="J262" s="595"/>
      <c r="K262" s="595"/>
      <c r="L262" s="595"/>
      <c r="M262" s="595"/>
      <c r="N262" s="595"/>
      <c r="O262" s="595"/>
      <c r="P262" s="595"/>
      <c r="Q262" s="595"/>
      <c r="R262" s="595"/>
      <c r="S262" s="595"/>
      <c r="T262" s="595"/>
      <c r="U262" s="595"/>
      <c r="V262" s="595"/>
      <c r="W262" s="595"/>
      <c r="X262" s="595"/>
      <c r="Y262" s="595"/>
      <c r="Z262" s="595"/>
      <c r="AA262" s="595"/>
      <c r="AB262" s="595"/>
      <c r="AC262" s="595"/>
      <c r="AD262" s="595"/>
      <c r="AE262" s="595"/>
      <c r="AF262" s="595"/>
      <c r="AG262" s="595"/>
      <c r="AH262" s="595"/>
      <c r="AI262" s="595"/>
      <c r="AJ262" s="595"/>
      <c r="AK262" s="595"/>
      <c r="AL262" s="595"/>
      <c r="AM262" s="595"/>
      <c r="AN262" s="595"/>
      <c r="AO262" s="595"/>
      <c r="AP262" s="595"/>
      <c r="AQ262" s="595"/>
      <c r="AR262" s="569"/>
    </row>
    <row r="263" spans="1:44" ht="15" customHeight="1">
      <c r="A263" s="595"/>
      <c r="B263" s="595"/>
      <c r="C263" s="595"/>
      <c r="D263" s="595"/>
      <c r="E263" s="595"/>
      <c r="F263" s="595"/>
      <c r="G263" s="595"/>
      <c r="H263" s="595"/>
      <c r="I263" s="595"/>
      <c r="J263" s="595"/>
      <c r="K263" s="595"/>
      <c r="L263" s="595"/>
      <c r="M263" s="595"/>
      <c r="N263" s="595"/>
      <c r="O263" s="595"/>
      <c r="P263" s="595"/>
      <c r="Q263" s="595"/>
      <c r="R263" s="595"/>
      <c r="S263" s="595"/>
      <c r="T263" s="595"/>
      <c r="U263" s="595"/>
      <c r="V263" s="595"/>
      <c r="W263" s="595"/>
      <c r="X263" s="595"/>
      <c r="Y263" s="595"/>
      <c r="Z263" s="595"/>
      <c r="AA263" s="595"/>
      <c r="AB263" s="595"/>
      <c r="AC263" s="595"/>
      <c r="AD263" s="595"/>
      <c r="AE263" s="595"/>
      <c r="AF263" s="595"/>
      <c r="AG263" s="595"/>
      <c r="AH263" s="595"/>
      <c r="AI263" s="595"/>
      <c r="AJ263" s="595"/>
      <c r="AK263" s="595"/>
      <c r="AL263" s="595"/>
      <c r="AM263" s="595"/>
      <c r="AN263" s="595"/>
      <c r="AO263" s="595"/>
      <c r="AP263" s="595"/>
      <c r="AQ263" s="595"/>
      <c r="AR263" s="569"/>
    </row>
    <row r="264" spans="1:44" ht="15" customHeight="1">
      <c r="A264" s="595"/>
      <c r="B264" s="595"/>
      <c r="C264" s="595"/>
      <c r="D264" s="595"/>
      <c r="E264" s="595"/>
      <c r="F264" s="595"/>
      <c r="G264" s="595"/>
      <c r="H264" s="595"/>
      <c r="I264" s="595"/>
      <c r="J264" s="595"/>
      <c r="K264" s="595"/>
      <c r="L264" s="595"/>
      <c r="M264" s="595"/>
      <c r="N264" s="595"/>
      <c r="O264" s="595"/>
      <c r="P264" s="595"/>
      <c r="Q264" s="595"/>
      <c r="R264" s="595"/>
      <c r="S264" s="595"/>
      <c r="T264" s="595"/>
      <c r="U264" s="595"/>
      <c r="V264" s="595"/>
      <c r="W264" s="595"/>
      <c r="X264" s="595"/>
      <c r="Y264" s="595"/>
      <c r="Z264" s="595"/>
      <c r="AA264" s="595"/>
      <c r="AB264" s="595"/>
      <c r="AC264" s="595"/>
      <c r="AD264" s="595"/>
      <c r="AE264" s="595"/>
      <c r="AF264" s="595"/>
      <c r="AG264" s="595"/>
      <c r="AH264" s="595"/>
      <c r="AI264" s="595"/>
      <c r="AJ264" s="595"/>
      <c r="AK264" s="595"/>
      <c r="AL264" s="595"/>
      <c r="AM264" s="595"/>
      <c r="AN264" s="595"/>
      <c r="AO264" s="595"/>
      <c r="AP264" s="595"/>
      <c r="AQ264" s="595"/>
      <c r="AR264" s="569"/>
    </row>
    <row r="265" spans="1:44" ht="15" customHeight="1">
      <c r="A265" s="595"/>
      <c r="B265" s="595"/>
      <c r="C265" s="595"/>
      <c r="D265" s="595"/>
      <c r="E265" s="595"/>
      <c r="F265" s="595"/>
      <c r="G265" s="595"/>
      <c r="H265" s="595"/>
      <c r="I265" s="595"/>
      <c r="J265" s="595"/>
      <c r="K265" s="595"/>
      <c r="L265" s="595"/>
      <c r="M265" s="595"/>
      <c r="N265" s="595"/>
      <c r="O265" s="595"/>
      <c r="P265" s="595"/>
      <c r="Q265" s="595"/>
      <c r="R265" s="595"/>
      <c r="S265" s="595"/>
      <c r="T265" s="595"/>
      <c r="U265" s="595"/>
      <c r="V265" s="595"/>
      <c r="W265" s="595"/>
      <c r="X265" s="595"/>
      <c r="Y265" s="595"/>
      <c r="Z265" s="595"/>
      <c r="AA265" s="595"/>
      <c r="AB265" s="595"/>
      <c r="AC265" s="595"/>
      <c r="AD265" s="595"/>
      <c r="AE265" s="595"/>
      <c r="AF265" s="595"/>
      <c r="AG265" s="595"/>
      <c r="AH265" s="595"/>
      <c r="AI265" s="595"/>
      <c r="AJ265" s="595"/>
      <c r="AK265" s="595"/>
      <c r="AL265" s="595"/>
      <c r="AM265" s="595"/>
      <c r="AN265" s="595"/>
      <c r="AO265" s="595"/>
      <c r="AP265" s="595"/>
      <c r="AQ265" s="595"/>
      <c r="AR265" s="535"/>
    </row>
    <row r="266" spans="1:44" ht="15" customHeight="1">
      <c r="A266" s="595"/>
      <c r="B266" s="595"/>
      <c r="C266" s="595"/>
      <c r="D266" s="595"/>
      <c r="E266" s="595"/>
      <c r="F266" s="595"/>
      <c r="G266" s="595"/>
      <c r="H266" s="595"/>
      <c r="I266" s="595"/>
      <c r="J266" s="595"/>
      <c r="K266" s="595"/>
      <c r="L266" s="595"/>
      <c r="M266" s="595"/>
      <c r="N266" s="595"/>
      <c r="O266" s="595"/>
      <c r="P266" s="595"/>
      <c r="Q266" s="595"/>
      <c r="R266" s="595"/>
      <c r="S266" s="595"/>
      <c r="T266" s="595"/>
      <c r="U266" s="595"/>
      <c r="V266" s="595"/>
      <c r="W266" s="595"/>
      <c r="X266" s="595"/>
      <c r="Y266" s="595"/>
      <c r="Z266" s="595"/>
      <c r="AA266" s="595"/>
      <c r="AB266" s="595"/>
      <c r="AC266" s="595"/>
      <c r="AD266" s="595"/>
      <c r="AE266" s="595"/>
      <c r="AF266" s="595"/>
      <c r="AG266" s="595"/>
      <c r="AH266" s="595"/>
      <c r="AI266" s="595"/>
      <c r="AJ266" s="595"/>
      <c r="AK266" s="595"/>
      <c r="AL266" s="595"/>
      <c r="AM266" s="595"/>
      <c r="AN266" s="595"/>
      <c r="AO266" s="595"/>
      <c r="AP266" s="595"/>
      <c r="AQ266" s="595"/>
    </row>
    <row r="267" spans="1:44" ht="15" customHeight="1">
      <c r="A267" s="595"/>
      <c r="B267" s="595"/>
      <c r="C267" s="595"/>
      <c r="D267" s="595"/>
      <c r="E267" s="595"/>
      <c r="F267" s="595"/>
      <c r="G267" s="595"/>
      <c r="H267" s="595"/>
      <c r="I267" s="595"/>
      <c r="J267" s="595"/>
      <c r="K267" s="595"/>
      <c r="L267" s="595"/>
      <c r="M267" s="595"/>
      <c r="N267" s="595"/>
      <c r="O267" s="595"/>
      <c r="P267" s="595"/>
      <c r="Q267" s="595"/>
      <c r="R267" s="595"/>
      <c r="S267" s="595"/>
      <c r="T267" s="595"/>
      <c r="U267" s="595"/>
      <c r="V267" s="595"/>
      <c r="W267" s="595"/>
      <c r="X267" s="595"/>
      <c r="Y267" s="595"/>
      <c r="Z267" s="595"/>
      <c r="AA267" s="595"/>
      <c r="AB267" s="595"/>
      <c r="AC267" s="595"/>
      <c r="AD267" s="595"/>
      <c r="AE267" s="595"/>
      <c r="AF267" s="595"/>
      <c r="AG267" s="595"/>
      <c r="AH267" s="595"/>
      <c r="AI267" s="595"/>
      <c r="AJ267" s="595"/>
      <c r="AK267" s="595"/>
      <c r="AL267" s="595"/>
      <c r="AM267" s="595"/>
      <c r="AN267" s="595"/>
      <c r="AO267" s="595"/>
      <c r="AP267" s="595"/>
      <c r="AQ267" s="595"/>
      <c r="AR267" s="31"/>
    </row>
    <row r="268" spans="1:44" ht="15" customHeight="1">
      <c r="A268" s="595"/>
      <c r="B268" s="595"/>
      <c r="C268" s="595"/>
      <c r="D268" s="595"/>
      <c r="E268" s="595"/>
      <c r="F268" s="595"/>
      <c r="G268" s="595"/>
      <c r="H268" s="595"/>
      <c r="I268" s="595"/>
      <c r="J268" s="595"/>
      <c r="K268" s="595"/>
      <c r="L268" s="595"/>
      <c r="M268" s="595"/>
      <c r="N268" s="595"/>
      <c r="O268" s="595"/>
      <c r="P268" s="595"/>
      <c r="Q268" s="595"/>
      <c r="R268" s="595"/>
      <c r="S268" s="595"/>
      <c r="T268" s="595"/>
      <c r="U268" s="595"/>
      <c r="V268" s="595"/>
      <c r="W268" s="595"/>
      <c r="X268" s="595"/>
      <c r="Y268" s="595"/>
      <c r="Z268" s="595"/>
      <c r="AA268" s="595"/>
      <c r="AB268" s="595"/>
      <c r="AC268" s="595"/>
      <c r="AD268" s="595"/>
      <c r="AE268" s="595"/>
      <c r="AF268" s="595"/>
      <c r="AG268" s="595"/>
      <c r="AH268" s="595"/>
      <c r="AI268" s="595"/>
      <c r="AJ268" s="595"/>
      <c r="AK268" s="595"/>
      <c r="AL268" s="595"/>
      <c r="AM268" s="595"/>
      <c r="AN268" s="595"/>
      <c r="AO268" s="595"/>
      <c r="AP268" s="595"/>
      <c r="AQ268" s="595"/>
      <c r="AR268" s="535"/>
    </row>
    <row r="269" spans="1:44" ht="15" customHeight="1">
      <c r="A269" s="595"/>
      <c r="B269" s="595"/>
      <c r="C269" s="595"/>
      <c r="D269" s="595"/>
      <c r="E269" s="595"/>
      <c r="F269" s="595"/>
      <c r="G269" s="595"/>
      <c r="H269" s="595"/>
      <c r="I269" s="595"/>
      <c r="J269" s="595"/>
      <c r="K269" s="595"/>
      <c r="L269" s="595"/>
      <c r="M269" s="595"/>
      <c r="N269" s="595"/>
      <c r="O269" s="595"/>
      <c r="P269" s="595"/>
      <c r="Q269" s="595"/>
      <c r="R269" s="595"/>
      <c r="S269" s="595"/>
      <c r="T269" s="595"/>
      <c r="U269" s="595"/>
      <c r="V269" s="595"/>
      <c r="W269" s="595"/>
      <c r="X269" s="595"/>
      <c r="Y269" s="595"/>
      <c r="Z269" s="595"/>
      <c r="AA269" s="595"/>
      <c r="AB269" s="595"/>
      <c r="AC269" s="595"/>
      <c r="AD269" s="595"/>
      <c r="AE269" s="595"/>
      <c r="AF269" s="595"/>
      <c r="AG269" s="595"/>
      <c r="AH269" s="595"/>
      <c r="AI269" s="595"/>
      <c r="AJ269" s="595"/>
      <c r="AK269" s="595"/>
      <c r="AL269" s="595"/>
      <c r="AM269" s="595"/>
      <c r="AN269" s="595"/>
      <c r="AO269" s="595"/>
      <c r="AP269" s="595"/>
      <c r="AQ269" s="595"/>
      <c r="AR269" s="588"/>
    </row>
    <row r="270" spans="1:44" ht="15" customHeight="1">
      <c r="A270" s="595"/>
      <c r="B270" s="595"/>
      <c r="C270" s="595"/>
      <c r="D270" s="595"/>
      <c r="E270" s="595"/>
      <c r="F270" s="595"/>
      <c r="G270" s="595"/>
      <c r="H270" s="595"/>
      <c r="I270" s="595"/>
      <c r="J270" s="595"/>
      <c r="K270" s="595"/>
      <c r="L270" s="595"/>
      <c r="M270" s="595"/>
      <c r="N270" s="595"/>
      <c r="O270" s="595"/>
      <c r="P270" s="595"/>
      <c r="Q270" s="595"/>
      <c r="R270" s="595"/>
      <c r="S270" s="595"/>
      <c r="T270" s="595"/>
      <c r="U270" s="595"/>
      <c r="V270" s="595"/>
      <c r="W270" s="595"/>
      <c r="X270" s="595"/>
      <c r="Y270" s="595"/>
      <c r="Z270" s="595"/>
      <c r="AA270" s="595"/>
      <c r="AB270" s="595"/>
      <c r="AC270" s="595"/>
      <c r="AD270" s="595"/>
      <c r="AE270" s="595"/>
      <c r="AF270" s="595"/>
      <c r="AG270" s="595"/>
      <c r="AH270" s="595"/>
      <c r="AI270" s="595"/>
      <c r="AJ270" s="595"/>
      <c r="AK270" s="595"/>
      <c r="AL270" s="595"/>
      <c r="AM270" s="595"/>
      <c r="AN270" s="595"/>
      <c r="AO270" s="595"/>
      <c r="AP270" s="595"/>
      <c r="AQ270" s="595"/>
      <c r="AR270" s="588"/>
    </row>
    <row r="271" spans="1:44" ht="15" customHeight="1">
      <c r="A271" s="595"/>
      <c r="B271" s="595"/>
      <c r="C271" s="595"/>
      <c r="D271" s="595"/>
      <c r="E271" s="595"/>
      <c r="F271" s="595"/>
      <c r="G271" s="595"/>
      <c r="H271" s="595"/>
      <c r="I271" s="595"/>
      <c r="J271" s="595"/>
      <c r="K271" s="595"/>
      <c r="L271" s="595"/>
      <c r="M271" s="595"/>
      <c r="N271" s="595"/>
      <c r="O271" s="595"/>
      <c r="P271" s="595"/>
      <c r="Q271" s="595"/>
      <c r="R271" s="595"/>
      <c r="S271" s="595"/>
      <c r="T271" s="595"/>
      <c r="U271" s="595"/>
      <c r="V271" s="595"/>
      <c r="W271" s="595"/>
      <c r="X271" s="595"/>
      <c r="Y271" s="595"/>
      <c r="Z271" s="595"/>
      <c r="AA271" s="595"/>
      <c r="AB271" s="595"/>
      <c r="AC271" s="595"/>
      <c r="AD271" s="595"/>
      <c r="AE271" s="595"/>
      <c r="AF271" s="595"/>
      <c r="AG271" s="595"/>
      <c r="AH271" s="595"/>
      <c r="AI271" s="595"/>
      <c r="AJ271" s="595"/>
      <c r="AK271" s="595"/>
      <c r="AL271" s="595"/>
      <c r="AM271" s="595"/>
      <c r="AN271" s="595"/>
      <c r="AO271" s="595"/>
      <c r="AP271" s="595"/>
      <c r="AQ271" s="595"/>
      <c r="AR271" s="588"/>
    </row>
    <row r="272" spans="1:44" ht="15" customHeight="1">
      <c r="A272" s="595"/>
      <c r="B272" s="595"/>
      <c r="C272" s="595"/>
      <c r="D272" s="595"/>
      <c r="E272" s="595"/>
      <c r="F272" s="595"/>
      <c r="G272" s="595"/>
      <c r="H272" s="595"/>
      <c r="I272" s="595"/>
      <c r="J272" s="595"/>
      <c r="K272" s="595"/>
      <c r="L272" s="595"/>
      <c r="M272" s="595"/>
      <c r="N272" s="595"/>
      <c r="O272" s="595"/>
      <c r="P272" s="595"/>
      <c r="Q272" s="595"/>
      <c r="R272" s="595"/>
      <c r="S272" s="595"/>
      <c r="T272" s="595"/>
      <c r="U272" s="595"/>
      <c r="V272" s="595"/>
      <c r="W272" s="595"/>
      <c r="X272" s="595"/>
      <c r="Y272" s="595"/>
      <c r="Z272" s="595"/>
      <c r="AA272" s="595"/>
      <c r="AB272" s="595"/>
      <c r="AC272" s="595"/>
      <c r="AD272" s="595"/>
      <c r="AE272" s="595"/>
      <c r="AF272" s="595"/>
      <c r="AG272" s="595"/>
      <c r="AH272" s="595"/>
      <c r="AI272" s="595"/>
      <c r="AJ272" s="595"/>
      <c r="AK272" s="595"/>
      <c r="AL272" s="595"/>
      <c r="AM272" s="595"/>
      <c r="AN272" s="595"/>
      <c r="AO272" s="595"/>
      <c r="AP272" s="595"/>
      <c r="AQ272" s="595"/>
      <c r="AR272" s="588"/>
    </row>
    <row r="273" spans="1:44" ht="15" customHeight="1">
      <c r="A273" s="595"/>
      <c r="B273" s="595"/>
      <c r="C273" s="595"/>
      <c r="D273" s="595"/>
      <c r="E273" s="595"/>
      <c r="F273" s="595"/>
      <c r="G273" s="595"/>
      <c r="H273" s="595"/>
      <c r="I273" s="595"/>
      <c r="J273" s="595"/>
      <c r="K273" s="595"/>
      <c r="L273" s="595"/>
      <c r="M273" s="595"/>
      <c r="N273" s="595"/>
      <c r="O273" s="595"/>
      <c r="P273" s="595"/>
      <c r="Q273" s="595"/>
      <c r="R273" s="595"/>
      <c r="S273" s="595"/>
      <c r="T273" s="595"/>
      <c r="U273" s="595"/>
      <c r="V273" s="595"/>
      <c r="W273" s="595"/>
      <c r="X273" s="595"/>
      <c r="Y273" s="595"/>
      <c r="Z273" s="595"/>
      <c r="AA273" s="595"/>
      <c r="AB273" s="595"/>
      <c r="AC273" s="595"/>
      <c r="AD273" s="595"/>
      <c r="AE273" s="595"/>
      <c r="AF273" s="595"/>
      <c r="AG273" s="595"/>
      <c r="AH273" s="595"/>
      <c r="AI273" s="595"/>
      <c r="AJ273" s="595"/>
      <c r="AK273" s="595"/>
      <c r="AL273" s="595"/>
      <c r="AM273" s="595"/>
      <c r="AN273" s="595"/>
      <c r="AO273" s="595"/>
      <c r="AP273" s="595"/>
      <c r="AQ273" s="595"/>
      <c r="AR273" s="535"/>
    </row>
    <row r="274" spans="1:44" ht="15" customHeight="1">
      <c r="A274" s="595"/>
      <c r="B274" s="595"/>
      <c r="C274" s="595"/>
      <c r="D274" s="595"/>
      <c r="E274" s="595"/>
      <c r="F274" s="595"/>
      <c r="G274" s="595"/>
      <c r="H274" s="595"/>
      <c r="I274" s="595"/>
      <c r="J274" s="595"/>
      <c r="K274" s="595"/>
      <c r="L274" s="595"/>
      <c r="M274" s="595"/>
      <c r="N274" s="595"/>
      <c r="O274" s="595"/>
      <c r="P274" s="595"/>
      <c r="Q274" s="595"/>
      <c r="R274" s="595"/>
      <c r="S274" s="595"/>
      <c r="T274" s="595"/>
      <c r="U274" s="595"/>
      <c r="V274" s="595"/>
      <c r="W274" s="595"/>
      <c r="X274" s="595"/>
      <c r="Y274" s="595"/>
      <c r="Z274" s="595"/>
      <c r="AA274" s="595"/>
      <c r="AB274" s="595"/>
      <c r="AC274" s="595"/>
      <c r="AD274" s="595"/>
      <c r="AE274" s="595"/>
      <c r="AF274" s="595"/>
      <c r="AG274" s="595"/>
      <c r="AH274" s="595"/>
      <c r="AI274" s="595"/>
      <c r="AJ274" s="595"/>
      <c r="AK274" s="595"/>
      <c r="AL274" s="595"/>
      <c r="AM274" s="595"/>
      <c r="AN274" s="595"/>
      <c r="AO274" s="595"/>
      <c r="AP274" s="595"/>
      <c r="AQ274" s="595"/>
      <c r="AR274" s="535"/>
    </row>
    <row r="275" spans="1:44" ht="15" customHeight="1">
      <c r="A275" s="595"/>
      <c r="B275" s="595"/>
      <c r="C275" s="595"/>
      <c r="D275" s="595"/>
      <c r="E275" s="595"/>
      <c r="F275" s="595"/>
      <c r="G275" s="595"/>
      <c r="H275" s="595"/>
      <c r="I275" s="595"/>
      <c r="J275" s="595"/>
      <c r="K275" s="595"/>
      <c r="L275" s="595"/>
      <c r="M275" s="595"/>
      <c r="N275" s="595"/>
      <c r="O275" s="595"/>
      <c r="P275" s="595"/>
      <c r="Q275" s="595"/>
      <c r="R275" s="595"/>
      <c r="S275" s="595"/>
      <c r="T275" s="595"/>
      <c r="U275" s="595"/>
      <c r="V275" s="595"/>
      <c r="W275" s="595"/>
      <c r="X275" s="595"/>
      <c r="Y275" s="595"/>
      <c r="Z275" s="595"/>
      <c r="AA275" s="595"/>
      <c r="AB275" s="595"/>
      <c r="AC275" s="595"/>
      <c r="AD275" s="595"/>
      <c r="AE275" s="595"/>
      <c r="AF275" s="595"/>
      <c r="AG275" s="595"/>
      <c r="AH275" s="595"/>
      <c r="AI275" s="595"/>
      <c r="AJ275" s="595"/>
      <c r="AK275" s="595"/>
      <c r="AL275" s="595"/>
      <c r="AM275" s="595"/>
      <c r="AN275" s="595"/>
      <c r="AO275" s="595"/>
      <c r="AP275" s="595"/>
      <c r="AQ275" s="595"/>
      <c r="AR275" s="535"/>
    </row>
    <row r="276" spans="1:44" ht="15" customHeight="1">
      <c r="A276" s="595"/>
      <c r="B276" s="595"/>
      <c r="C276" s="595"/>
      <c r="D276" s="595"/>
      <c r="E276" s="595"/>
      <c r="F276" s="595"/>
      <c r="G276" s="595"/>
      <c r="H276" s="595"/>
      <c r="I276" s="595"/>
      <c r="J276" s="595"/>
      <c r="K276" s="595"/>
      <c r="L276" s="595"/>
      <c r="M276" s="595"/>
      <c r="N276" s="595"/>
      <c r="O276" s="595"/>
      <c r="P276" s="595"/>
      <c r="Q276" s="595"/>
      <c r="R276" s="595"/>
      <c r="S276" s="595"/>
      <c r="T276" s="595"/>
      <c r="U276" s="595"/>
      <c r="V276" s="595"/>
      <c r="W276" s="595"/>
      <c r="X276" s="595"/>
      <c r="Y276" s="595"/>
      <c r="Z276" s="595"/>
      <c r="AA276" s="595"/>
      <c r="AB276" s="595"/>
      <c r="AC276" s="595"/>
      <c r="AD276" s="595"/>
      <c r="AE276" s="595"/>
      <c r="AF276" s="595"/>
      <c r="AG276" s="595"/>
      <c r="AH276" s="595"/>
      <c r="AI276" s="595"/>
      <c r="AJ276" s="595"/>
      <c r="AK276" s="595"/>
      <c r="AL276" s="595"/>
      <c r="AM276" s="595"/>
      <c r="AN276" s="595"/>
      <c r="AO276" s="595"/>
      <c r="AP276" s="595"/>
      <c r="AQ276" s="595"/>
      <c r="AR276" s="535"/>
    </row>
    <row r="277" spans="1:44" ht="15" customHeight="1">
      <c r="A277" s="595"/>
      <c r="B277" s="595"/>
      <c r="C277" s="595"/>
      <c r="D277" s="595"/>
      <c r="E277" s="595"/>
      <c r="F277" s="595"/>
      <c r="G277" s="595"/>
      <c r="H277" s="595"/>
      <c r="I277" s="595"/>
      <c r="J277" s="595"/>
      <c r="K277" s="595"/>
      <c r="L277" s="595"/>
      <c r="M277" s="595"/>
      <c r="N277" s="595"/>
      <c r="O277" s="595"/>
      <c r="P277" s="595"/>
      <c r="Q277" s="595"/>
      <c r="R277" s="595"/>
      <c r="S277" s="595"/>
      <c r="T277" s="595"/>
      <c r="U277" s="595"/>
      <c r="V277" s="595"/>
      <c r="W277" s="595"/>
      <c r="X277" s="595"/>
      <c r="Y277" s="595"/>
      <c r="Z277" s="595"/>
      <c r="AA277" s="595"/>
      <c r="AB277" s="595"/>
      <c r="AC277" s="595"/>
      <c r="AD277" s="595"/>
      <c r="AE277" s="595"/>
      <c r="AF277" s="595"/>
      <c r="AG277" s="595"/>
      <c r="AH277" s="595"/>
      <c r="AI277" s="595"/>
      <c r="AJ277" s="595"/>
      <c r="AK277" s="595"/>
      <c r="AL277" s="595"/>
      <c r="AM277" s="595"/>
      <c r="AN277" s="595"/>
      <c r="AO277" s="595"/>
      <c r="AP277" s="595"/>
      <c r="AQ277" s="595"/>
    </row>
    <row r="278" spans="1:44" ht="15" customHeight="1">
      <c r="A278" s="595"/>
      <c r="B278" s="595"/>
      <c r="C278" s="595"/>
      <c r="D278" s="595"/>
      <c r="E278" s="595"/>
      <c r="F278" s="595"/>
      <c r="G278" s="595"/>
      <c r="H278" s="595"/>
      <c r="I278" s="595"/>
      <c r="J278" s="595"/>
      <c r="K278" s="595"/>
      <c r="L278" s="595"/>
      <c r="M278" s="595"/>
      <c r="N278" s="595"/>
      <c r="O278" s="595"/>
      <c r="P278" s="595"/>
      <c r="Q278" s="595"/>
      <c r="R278" s="595"/>
      <c r="S278" s="595"/>
      <c r="T278" s="595"/>
      <c r="U278" s="595"/>
      <c r="V278" s="595"/>
      <c r="W278" s="595"/>
      <c r="X278" s="595"/>
      <c r="Y278" s="595"/>
      <c r="Z278" s="595"/>
      <c r="AA278" s="595"/>
      <c r="AB278" s="595"/>
      <c r="AC278" s="595"/>
      <c r="AD278" s="595"/>
      <c r="AE278" s="595"/>
      <c r="AF278" s="595"/>
      <c r="AG278" s="595"/>
      <c r="AH278" s="595"/>
      <c r="AI278" s="595"/>
      <c r="AJ278" s="595"/>
      <c r="AK278" s="595"/>
      <c r="AL278" s="595"/>
      <c r="AM278" s="595"/>
      <c r="AN278" s="595"/>
      <c r="AO278" s="595"/>
      <c r="AP278" s="595"/>
      <c r="AQ278" s="595"/>
    </row>
    <row r="279" spans="1:44" ht="15" customHeight="1">
      <c r="A279" s="595"/>
      <c r="B279" s="595"/>
      <c r="C279" s="595"/>
      <c r="D279" s="595"/>
      <c r="E279" s="595"/>
      <c r="F279" s="595"/>
      <c r="G279" s="595"/>
      <c r="H279" s="595"/>
      <c r="I279" s="595"/>
      <c r="J279" s="595"/>
      <c r="K279" s="595"/>
      <c r="L279" s="595"/>
      <c r="M279" s="595"/>
      <c r="N279" s="595"/>
      <c r="O279" s="595"/>
      <c r="P279" s="595"/>
      <c r="Q279" s="595"/>
      <c r="R279" s="595"/>
      <c r="S279" s="595"/>
      <c r="T279" s="595"/>
      <c r="U279" s="595"/>
      <c r="V279" s="595"/>
      <c r="W279" s="595"/>
      <c r="X279" s="595"/>
      <c r="Y279" s="595"/>
      <c r="Z279" s="595"/>
      <c r="AA279" s="595"/>
      <c r="AB279" s="595"/>
      <c r="AC279" s="595"/>
      <c r="AD279" s="595"/>
      <c r="AE279" s="595"/>
      <c r="AF279" s="595"/>
      <c r="AG279" s="595"/>
      <c r="AH279" s="595"/>
      <c r="AI279" s="595"/>
      <c r="AJ279" s="595"/>
      <c r="AK279" s="595"/>
      <c r="AL279" s="595"/>
      <c r="AM279" s="595"/>
      <c r="AN279" s="595"/>
      <c r="AO279" s="595"/>
      <c r="AP279" s="595"/>
      <c r="AQ279" s="595"/>
    </row>
    <row r="280" spans="1:44" ht="15" customHeight="1">
      <c r="A280" s="595"/>
      <c r="B280" s="595"/>
      <c r="C280" s="595"/>
      <c r="D280" s="595"/>
      <c r="E280" s="595"/>
      <c r="F280" s="595"/>
      <c r="G280" s="595"/>
      <c r="H280" s="595"/>
      <c r="I280" s="595"/>
      <c r="J280" s="595"/>
      <c r="K280" s="595"/>
      <c r="L280" s="595"/>
      <c r="M280" s="595"/>
      <c r="N280" s="595"/>
      <c r="O280" s="595"/>
      <c r="P280" s="595"/>
      <c r="Q280" s="595"/>
      <c r="R280" s="595"/>
      <c r="S280" s="595"/>
      <c r="T280" s="595"/>
      <c r="U280" s="595"/>
      <c r="V280" s="595"/>
      <c r="W280" s="595"/>
      <c r="X280" s="595"/>
      <c r="Y280" s="595"/>
      <c r="Z280" s="595"/>
      <c r="AA280" s="595"/>
      <c r="AB280" s="595"/>
      <c r="AC280" s="595"/>
      <c r="AD280" s="595"/>
      <c r="AE280" s="595"/>
      <c r="AF280" s="595"/>
      <c r="AG280" s="595"/>
      <c r="AH280" s="595"/>
      <c r="AI280" s="595"/>
      <c r="AJ280" s="595"/>
      <c r="AK280" s="595"/>
      <c r="AL280" s="595"/>
      <c r="AM280" s="595"/>
      <c r="AN280" s="595"/>
      <c r="AO280" s="595"/>
      <c r="AP280" s="595"/>
      <c r="AQ280" s="595"/>
    </row>
    <row r="281" spans="1:44" ht="15" customHeight="1">
      <c r="A281" s="595"/>
      <c r="B281" s="595"/>
      <c r="C281" s="595"/>
      <c r="D281" s="595"/>
      <c r="E281" s="595"/>
      <c r="F281" s="595"/>
      <c r="G281" s="595"/>
      <c r="H281" s="595"/>
      <c r="I281" s="595"/>
      <c r="J281" s="595"/>
      <c r="K281" s="595"/>
      <c r="L281" s="595"/>
      <c r="M281" s="595"/>
      <c r="N281" s="595"/>
      <c r="O281" s="595"/>
      <c r="P281" s="595"/>
      <c r="Q281" s="595"/>
      <c r="R281" s="595"/>
      <c r="S281" s="595"/>
      <c r="T281" s="595"/>
      <c r="U281" s="595"/>
      <c r="V281" s="595"/>
      <c r="W281" s="595"/>
      <c r="X281" s="595"/>
      <c r="Y281" s="595"/>
      <c r="Z281" s="595"/>
      <c r="AA281" s="595"/>
      <c r="AB281" s="595"/>
      <c r="AC281" s="595"/>
      <c r="AD281" s="595"/>
      <c r="AE281" s="595"/>
      <c r="AF281" s="595"/>
      <c r="AG281" s="595"/>
      <c r="AH281" s="595"/>
      <c r="AI281" s="595"/>
      <c r="AJ281" s="595"/>
      <c r="AK281" s="595"/>
      <c r="AL281" s="595"/>
      <c r="AM281" s="595"/>
      <c r="AN281" s="595"/>
      <c r="AO281" s="595"/>
      <c r="AP281" s="595"/>
      <c r="AQ281" s="595"/>
    </row>
    <row r="282" spans="1:44" ht="15" customHeight="1">
      <c r="A282" s="595"/>
      <c r="B282" s="595"/>
      <c r="C282" s="595"/>
      <c r="D282" s="595"/>
      <c r="E282" s="595"/>
      <c r="F282" s="595"/>
      <c r="G282" s="595"/>
      <c r="H282" s="595"/>
      <c r="I282" s="595"/>
      <c r="J282" s="595"/>
      <c r="K282" s="595"/>
      <c r="L282" s="595"/>
      <c r="M282" s="595"/>
      <c r="N282" s="595"/>
      <c r="O282" s="595"/>
      <c r="P282" s="595"/>
      <c r="Q282" s="595"/>
      <c r="R282" s="595"/>
      <c r="S282" s="595"/>
      <c r="T282" s="595"/>
      <c r="U282" s="595"/>
      <c r="V282" s="595"/>
      <c r="W282" s="595"/>
      <c r="X282" s="595"/>
      <c r="Y282" s="595"/>
      <c r="Z282" s="595"/>
      <c r="AA282" s="595"/>
      <c r="AB282" s="595"/>
      <c r="AC282" s="595"/>
      <c r="AD282" s="595"/>
      <c r="AE282" s="595"/>
      <c r="AF282" s="595"/>
      <c r="AG282" s="595"/>
      <c r="AH282" s="595"/>
      <c r="AI282" s="595"/>
      <c r="AJ282" s="595"/>
      <c r="AK282" s="595"/>
      <c r="AL282" s="595"/>
      <c r="AM282" s="595"/>
      <c r="AN282" s="595"/>
      <c r="AO282" s="595"/>
      <c r="AP282" s="595"/>
      <c r="AQ282" s="595"/>
    </row>
    <row r="283" spans="1:44" ht="15" customHeight="1">
      <c r="A283" s="595"/>
      <c r="B283" s="595"/>
      <c r="C283" s="595"/>
      <c r="D283" s="595"/>
      <c r="E283" s="595"/>
      <c r="F283" s="595"/>
      <c r="G283" s="595"/>
      <c r="H283" s="595"/>
      <c r="I283" s="595"/>
      <c r="J283" s="595"/>
      <c r="K283" s="595"/>
      <c r="L283" s="595"/>
      <c r="M283" s="595"/>
      <c r="N283" s="595"/>
      <c r="O283" s="595"/>
      <c r="P283" s="595"/>
      <c r="Q283" s="595"/>
      <c r="R283" s="595"/>
      <c r="S283" s="595"/>
      <c r="T283" s="595"/>
      <c r="U283" s="595"/>
      <c r="V283" s="595"/>
      <c r="W283" s="595"/>
      <c r="X283" s="595"/>
      <c r="Y283" s="595"/>
      <c r="Z283" s="595"/>
      <c r="AA283" s="595"/>
      <c r="AB283" s="595"/>
      <c r="AC283" s="595"/>
      <c r="AD283" s="595"/>
      <c r="AE283" s="595"/>
      <c r="AF283" s="595"/>
      <c r="AG283" s="595"/>
      <c r="AH283" s="595"/>
      <c r="AI283" s="595"/>
      <c r="AJ283" s="595"/>
      <c r="AK283" s="595"/>
      <c r="AL283" s="595"/>
      <c r="AM283" s="595"/>
      <c r="AN283" s="595"/>
      <c r="AO283" s="595"/>
      <c r="AP283" s="595"/>
      <c r="AQ283" s="595"/>
    </row>
    <row r="284" spans="1:44" ht="15" customHeight="1">
      <c r="A284" s="595"/>
      <c r="B284" s="595"/>
      <c r="C284" s="595"/>
      <c r="D284" s="595"/>
      <c r="E284" s="595"/>
      <c r="F284" s="595"/>
      <c r="G284" s="595"/>
      <c r="H284" s="595"/>
      <c r="I284" s="595"/>
      <c r="J284" s="595"/>
      <c r="K284" s="595"/>
      <c r="L284" s="595"/>
      <c r="M284" s="595"/>
      <c r="N284" s="595"/>
      <c r="O284" s="595"/>
      <c r="P284" s="595"/>
      <c r="Q284" s="595"/>
      <c r="R284" s="595"/>
      <c r="S284" s="595"/>
      <c r="T284" s="595"/>
      <c r="U284" s="595"/>
      <c r="V284" s="595"/>
      <c r="W284" s="595"/>
      <c r="X284" s="595"/>
      <c r="Y284" s="595"/>
      <c r="Z284" s="595"/>
      <c r="AA284" s="595"/>
      <c r="AB284" s="595"/>
      <c r="AC284" s="595"/>
      <c r="AD284" s="595"/>
      <c r="AE284" s="595"/>
      <c r="AF284" s="595"/>
      <c r="AG284" s="595"/>
      <c r="AH284" s="595"/>
      <c r="AI284" s="595"/>
      <c r="AJ284" s="595"/>
      <c r="AK284" s="595"/>
      <c r="AL284" s="595"/>
      <c r="AM284" s="595"/>
      <c r="AN284" s="595"/>
      <c r="AO284" s="595"/>
      <c r="AP284" s="595"/>
      <c r="AQ284" s="595"/>
    </row>
    <row r="285" spans="1:44" ht="15" customHeight="1">
      <c r="A285" s="595"/>
      <c r="B285" s="595"/>
      <c r="C285" s="595"/>
      <c r="D285" s="595"/>
      <c r="E285" s="595"/>
      <c r="F285" s="595"/>
      <c r="G285" s="595"/>
      <c r="H285" s="595"/>
      <c r="I285" s="595"/>
      <c r="J285" s="595"/>
      <c r="K285" s="595"/>
      <c r="L285" s="595"/>
      <c r="M285" s="595"/>
      <c r="N285" s="595"/>
      <c r="O285" s="595"/>
      <c r="P285" s="595"/>
      <c r="Q285" s="595"/>
      <c r="R285" s="595"/>
      <c r="S285" s="595"/>
      <c r="T285" s="595"/>
      <c r="U285" s="595"/>
      <c r="V285" s="595"/>
      <c r="W285" s="595"/>
      <c r="X285" s="595"/>
      <c r="Y285" s="595"/>
      <c r="Z285" s="595"/>
      <c r="AA285" s="595"/>
      <c r="AB285" s="595"/>
      <c r="AC285" s="595"/>
      <c r="AD285" s="595"/>
      <c r="AE285" s="595"/>
      <c r="AF285" s="595"/>
      <c r="AG285" s="595"/>
      <c r="AH285" s="595"/>
      <c r="AI285" s="595"/>
      <c r="AJ285" s="595"/>
      <c r="AK285" s="595"/>
      <c r="AL285" s="595"/>
      <c r="AM285" s="595"/>
      <c r="AN285" s="595"/>
      <c r="AO285" s="595"/>
      <c r="AP285" s="595"/>
      <c r="AQ285" s="595"/>
    </row>
    <row r="286" spans="1:44" ht="15" customHeight="1">
      <c r="A286" s="595"/>
      <c r="B286" s="595"/>
      <c r="C286" s="595"/>
      <c r="D286" s="595"/>
      <c r="E286" s="595"/>
      <c r="F286" s="595"/>
      <c r="G286" s="595"/>
      <c r="H286" s="595"/>
      <c r="I286" s="595"/>
      <c r="J286" s="595"/>
      <c r="K286" s="595"/>
      <c r="L286" s="595"/>
      <c r="M286" s="595"/>
      <c r="N286" s="595"/>
      <c r="O286" s="595"/>
      <c r="P286" s="595"/>
      <c r="Q286" s="595"/>
      <c r="R286" s="595"/>
      <c r="S286" s="595"/>
      <c r="T286" s="595"/>
      <c r="U286" s="595"/>
      <c r="V286" s="595"/>
      <c r="W286" s="595"/>
      <c r="X286" s="595"/>
      <c r="Y286" s="595"/>
      <c r="Z286" s="595"/>
      <c r="AA286" s="595"/>
      <c r="AB286" s="595"/>
      <c r="AC286" s="595"/>
      <c r="AD286" s="595"/>
      <c r="AE286" s="595"/>
      <c r="AF286" s="595"/>
      <c r="AG286" s="595"/>
      <c r="AH286" s="595"/>
      <c r="AI286" s="595"/>
      <c r="AJ286" s="595"/>
      <c r="AK286" s="595"/>
      <c r="AL286" s="595"/>
      <c r="AM286" s="595"/>
      <c r="AN286" s="595"/>
      <c r="AO286" s="595"/>
      <c r="AP286" s="595"/>
      <c r="AQ286" s="595"/>
    </row>
    <row r="321" spans="2:15" ht="15" customHeight="1">
      <c r="B321" s="1246"/>
      <c r="C321" s="1246"/>
      <c r="D321" s="1246"/>
      <c r="E321" s="1246"/>
      <c r="F321" s="1246"/>
      <c r="G321" s="1246"/>
      <c r="H321" s="1246"/>
      <c r="I321" s="1246"/>
      <c r="J321" s="1246"/>
      <c r="K321" s="1246"/>
      <c r="L321" s="1246"/>
      <c r="M321" s="1246"/>
      <c r="N321" s="1246"/>
      <c r="O321" s="1246"/>
    </row>
    <row r="322" spans="2:15" ht="15" customHeight="1">
      <c r="B322" s="1246"/>
      <c r="C322" s="1246"/>
      <c r="D322" s="1246"/>
      <c r="E322" s="1246"/>
      <c r="F322" s="1246"/>
      <c r="G322" s="1246"/>
      <c r="H322" s="1246"/>
      <c r="I322" s="1246"/>
      <c r="J322" s="1246"/>
      <c r="K322" s="1246"/>
      <c r="L322" s="1246"/>
      <c r="M322" s="1246"/>
      <c r="N322" s="1246"/>
      <c r="O322" s="1246"/>
    </row>
    <row r="323" spans="2:15" ht="15" customHeight="1">
      <c r="B323" s="1246"/>
      <c r="C323" s="1246"/>
      <c r="D323" s="1246"/>
      <c r="E323" s="1246"/>
      <c r="F323" s="1246"/>
      <c r="G323" s="1246"/>
      <c r="H323" s="1246"/>
      <c r="I323" s="1246"/>
      <c r="J323" s="1246"/>
      <c r="K323" s="1246"/>
      <c r="L323" s="1246"/>
      <c r="M323" s="1246"/>
      <c r="N323" s="1246"/>
      <c r="O323" s="1246"/>
    </row>
    <row r="324" spans="2:15" ht="15" customHeight="1">
      <c r="B324" s="1246"/>
      <c r="C324" s="1246"/>
      <c r="D324" s="1246"/>
      <c r="E324" s="1246"/>
      <c r="F324" s="1246"/>
      <c r="G324" s="1246"/>
      <c r="H324" s="1246"/>
      <c r="I324" s="1246"/>
      <c r="J324" s="1246"/>
      <c r="K324" s="1246"/>
      <c r="L324" s="1246"/>
      <c r="M324" s="1246"/>
      <c r="N324" s="1246"/>
      <c r="O324" s="1246"/>
    </row>
    <row r="325" spans="2:15" ht="15" customHeight="1">
      <c r="B325" s="1246"/>
      <c r="C325" s="1246"/>
      <c r="D325" s="1246"/>
      <c r="E325" s="1246"/>
      <c r="F325" s="1246"/>
      <c r="G325" s="1246"/>
      <c r="H325" s="1246"/>
      <c r="I325" s="1246"/>
      <c r="J325" s="1246"/>
      <c r="K325" s="1246"/>
      <c r="L325" s="1246"/>
      <c r="M325" s="1246"/>
      <c r="N325" s="1246"/>
      <c r="O325" s="1246"/>
    </row>
    <row r="326" spans="2:15" ht="15" customHeight="1">
      <c r="B326" s="1246"/>
      <c r="C326" s="1246"/>
      <c r="D326" s="1246"/>
      <c r="E326" s="1246"/>
      <c r="F326" s="1246"/>
      <c r="G326" s="1246"/>
      <c r="H326" s="1246"/>
      <c r="I326" s="1246"/>
      <c r="J326" s="1246"/>
      <c r="K326" s="1246"/>
      <c r="L326" s="1246"/>
      <c r="M326" s="1246"/>
      <c r="N326" s="1246"/>
      <c r="O326" s="1246"/>
    </row>
    <row r="327" spans="2:15" ht="15" customHeight="1">
      <c r="B327" s="1246"/>
      <c r="C327" s="1246"/>
      <c r="D327" s="1246"/>
      <c r="E327" s="1246"/>
      <c r="F327" s="1246"/>
      <c r="G327" s="1246"/>
      <c r="H327" s="1246"/>
      <c r="I327" s="1246"/>
      <c r="J327" s="1246"/>
      <c r="K327" s="1246"/>
      <c r="L327" s="1246"/>
      <c r="M327" s="1246"/>
      <c r="N327" s="1246"/>
      <c r="O327" s="1246"/>
    </row>
    <row r="328" spans="2:15" ht="15" customHeight="1">
      <c r="B328" s="1246"/>
      <c r="C328" s="1246"/>
      <c r="D328" s="1246"/>
      <c r="E328" s="1246"/>
      <c r="F328" s="1246"/>
      <c r="G328" s="1246"/>
      <c r="H328" s="1246"/>
      <c r="I328" s="1246"/>
      <c r="J328" s="1246"/>
      <c r="K328" s="1246"/>
      <c r="L328" s="1246"/>
      <c r="M328" s="1246"/>
      <c r="N328" s="1246"/>
      <c r="O328" s="1246"/>
    </row>
    <row r="341" spans="46:48" ht="15" customHeight="1">
      <c r="AT341" s="535"/>
      <c r="AV341" s="3" t="str">
        <f>IF(FAMILY4ADDRESS1="","",""&amp;IF(FAMILY4ADDRESS2="",FAMILY4ADDRESS1,"戸籍住所："&amp;FAMILY4ADDRESS1))</f>
        <v/>
      </c>
    </row>
    <row r="342" spans="46:48" ht="15" customHeight="1">
      <c r="AT342" s="63"/>
      <c r="AV342" s="3" t="str">
        <f>IF(FAMILY4ADDRESS1="","",""&amp;IF(FAMILY4ADDRESS2="",FAMILY4ADDRESS2,"現住所："&amp;FAMILY4ADDRESS2))</f>
        <v/>
      </c>
    </row>
  </sheetData>
  <sheetProtection algorithmName="SHA-512" hashValue="rx4pZ8PS8q4dUbkr/rFdYgtR+Xu5awTbvhqNt1cxJfEzmb7ILg++3Gva9lgvRu3r2GrqP3jbSFEHZwsgTRpG0g==" saltValue="4/UwMa50L5Bl4xJsgTvyzQ==" spinCount="100000" sheet="1" objects="1" scenarios="1" selectLockedCells="1"/>
  <protectedRanges>
    <protectedRange sqref="AR128:AR132" name="範囲1_1"/>
    <protectedRange sqref="AR217:AR228 AR262:AR265" name="範囲1_4"/>
    <protectedRange sqref="AA6:AA7 K8 P8:P9 Y8:Y9 AB23 AG17:AG18 A41 Q41:U44 AE41:AI44 H17:H18 H29:T32 A49 Z10:Z12 AO12:AP15 AK12:AL15 AB29:AQ32 AJ74 AN74 F78 K78 X194 AC194 F4 A34:A37 F6:F11 L9 T5 Q49:U52 AF6:AF7 AD12:AD13 L21:AQ22 H23:AA28 AD23:AQ28 AB24:AC28 K74 L75 AE49:AI52 A57 Q57:U60 AE57:AI60 DW11 AE14:AJ15 AG12:AG13 DV12:DZ13" name="範囲1_2"/>
    <protectedRange sqref="F72 V72 F74 J74 M74 V74 Y78 P83 AI98:AJ103 B98:AG103 AO98:AP103 AL98:AM103 B83:L94 N83:O94 P85 P84:Q84 P87 P86:Q86 P89 P88:Q88 P91 P90:Q90 P93 P92:Q92 P94:Q94 AI107:AJ111 B107:AG111 AO107:AP111 AL107:AM111 AI83:AJ94 R83:AG94 AO83:AP94 AL83:AM94" name="範囲1_1_2"/>
    <protectedRange sqref="Q179 AA135 AH138 M179 A135 H179 A138 AL153 AL144 AL141:AL142 N138 W138 AG153 AG144 AG141:AG142 AN236:AN237 L236:M236 AL147 AG147 AE236:AL237 D237 L242:M242 L244:M244 G236:H237 E236:F236 L160 G241:H244 L162 D241 E242:F242 L164 L166 U174 U173:V173 U175:V175 D243 E244:F244 L158 L168 L170 L172 AE241:AL244 BF232:BF233 L174 K161:L161 Y241:Y244 U241:W244 K241:K244 D160 D162 D164 D166 D168 E161:F161 E163:F163 E165:F165 E167:F167 E169:F169 D170 E171:F171 N158:O158 K159:L159 D172 D174 E173:F173 E175:F175 D158 E159:F159 G158:H175 AF158:AM175 Z158:Z175 U158 W158:X175 U160 U159:V159 U162 U161:V161 U164 U163:V163 U166 U165:V165 U168 U167:V167 U170 U169:V169 U172 U171:V171 Q158 K163:L163 K165:L165 Q160 Q162 Q164 Q166 Q168 Q170 Q172 Q174 N160:O160 N162:O162 N164:O164 N166:O166 N168:O168 N170:O170 N172:O172 N174:O174 AN241:AN244 K173:L173 K167:L167 K169:L169 K171:L171 K236:K237 U236:W237 M237:N237 K175:L175 M241:N241 M243:N243 Y236:Y237" name="範囲1_3_1"/>
    <protectedRange sqref="B217:AQ217 B219:AQ219" name="範囲1_4_4"/>
    <protectedRange sqref="S115:T119 V115:Y119 P115:Q119 M115:N119 I115:K119 F115:G119 B115:D119 AA115:AP119" name="範囲1_1_1_1"/>
    <protectedRange sqref="C220:C221" name="範囲1_4_1_1"/>
    <protectedRange sqref="I229 AH229 Q229 Y229 AH232 I232" name="範囲1_4_2_1"/>
    <protectedRange sqref="F251 D247:D248 AL247:AL248" name="範囲1_4_3_1"/>
    <protectedRange sqref="R34:R37 AJ34:AL37 N34:N37 I34:I37 K34:K37 X34:X37" name="範囲1_2_1"/>
    <protectedRange sqref="L243 M158 S158:S175 M160 M162 M164 M166 M168 M170 M172 M174 L241 L237" name="範囲1_3_1_1"/>
    <protectedRange sqref="AT21:AT22" name="範囲1_2_2"/>
    <protectedRange sqref="J241:J244 J236:J237" name="範囲1_3_1_2"/>
  </protectedRanges>
  <sortState xmlns:xlrd2="http://schemas.microsoft.com/office/spreadsheetml/2017/richdata2" ref="AT172:BE172">
    <sortCondition ref="AT245"/>
  </sortState>
  <mergeCells count="677">
    <mergeCell ref="P9:Q9"/>
    <mergeCell ref="T9:Y9"/>
    <mergeCell ref="A10:E10"/>
    <mergeCell ref="T10:Y10"/>
    <mergeCell ref="A11:E11"/>
    <mergeCell ref="T11:Y11"/>
    <mergeCell ref="A12:E12"/>
    <mergeCell ref="T12:Y12"/>
    <mergeCell ref="A3:AQ3"/>
    <mergeCell ref="A4:E4"/>
    <mergeCell ref="A5:E5"/>
    <mergeCell ref="A6:E6"/>
    <mergeCell ref="T6:Y6"/>
    <mergeCell ref="A7:E7"/>
    <mergeCell ref="T7:Y7"/>
    <mergeCell ref="A8:E8"/>
    <mergeCell ref="P8:Q8"/>
    <mergeCell ref="T8:Y8"/>
    <mergeCell ref="Z6:Z7"/>
    <mergeCell ref="AE6:AE7"/>
    <mergeCell ref="F6:S7"/>
    <mergeCell ref="AA6:AB7"/>
    <mergeCell ref="AC6:AD7"/>
    <mergeCell ref="AF6:AG7"/>
    <mergeCell ref="A13:E13"/>
    <mergeCell ref="T13:Y13"/>
    <mergeCell ref="A14:E14"/>
    <mergeCell ref="T14:Y14"/>
    <mergeCell ref="A15:E15"/>
    <mergeCell ref="T15:Y15"/>
    <mergeCell ref="A16:AQ16"/>
    <mergeCell ref="A17:G17"/>
    <mergeCell ref="U17:AF17"/>
    <mergeCell ref="AE14:AE15"/>
    <mergeCell ref="AK4:AQ15"/>
    <mergeCell ref="AH6:AJ7"/>
    <mergeCell ref="AC8:AJ9"/>
    <mergeCell ref="F4:AJ5"/>
    <mergeCell ref="F8:O9"/>
    <mergeCell ref="R8:S9"/>
    <mergeCell ref="Z12:AJ13"/>
    <mergeCell ref="Z8:AB9"/>
    <mergeCell ref="Z14:AD15"/>
    <mergeCell ref="AF14:AJ15"/>
    <mergeCell ref="F12:S13"/>
    <mergeCell ref="F14:S15"/>
    <mergeCell ref="Z10:AJ11"/>
    <mergeCell ref="A9:E9"/>
    <mergeCell ref="A18:G18"/>
    <mergeCell ref="U18:AF18"/>
    <mergeCell ref="A19:G19"/>
    <mergeCell ref="U19:AF19"/>
    <mergeCell ref="A20:G20"/>
    <mergeCell ref="U20:AF20"/>
    <mergeCell ref="A21:G21"/>
    <mergeCell ref="A22:G22"/>
    <mergeCell ref="A23:G23"/>
    <mergeCell ref="AB23:AQ24"/>
    <mergeCell ref="H19:T20"/>
    <mergeCell ref="AG19:AQ20"/>
    <mergeCell ref="H21:AQ22"/>
    <mergeCell ref="H17:T18"/>
    <mergeCell ref="AG17:AQ18"/>
    <mergeCell ref="A24:G24"/>
    <mergeCell ref="A25:G25"/>
    <mergeCell ref="A26:G26"/>
    <mergeCell ref="A27:G27"/>
    <mergeCell ref="A28:G28"/>
    <mergeCell ref="A29:G29"/>
    <mergeCell ref="U29:AA29"/>
    <mergeCell ref="A30:G30"/>
    <mergeCell ref="U30:AA30"/>
    <mergeCell ref="Y23:AA24"/>
    <mergeCell ref="H25:AQ26"/>
    <mergeCell ref="H27:AQ28"/>
    <mergeCell ref="H23:J24"/>
    <mergeCell ref="AB29:AD30"/>
    <mergeCell ref="AE29:AQ30"/>
    <mergeCell ref="H29:T30"/>
    <mergeCell ref="A31:G31"/>
    <mergeCell ref="U31:AA31"/>
    <mergeCell ref="A32:G32"/>
    <mergeCell ref="U32:AA32"/>
    <mergeCell ref="A33:AQ33"/>
    <mergeCell ref="K34:M34"/>
    <mergeCell ref="O34:Q34"/>
    <mergeCell ref="S34:W34"/>
    <mergeCell ref="Y34:AB34"/>
    <mergeCell ref="AC34:AF34"/>
    <mergeCell ref="AM34:AN34"/>
    <mergeCell ref="K35:M35"/>
    <mergeCell ref="O35:Q35"/>
    <mergeCell ref="S35:W35"/>
    <mergeCell ref="Y35:AB35"/>
    <mergeCell ref="AC35:AF35"/>
    <mergeCell ref="AM35:AN35"/>
    <mergeCell ref="K36:M36"/>
    <mergeCell ref="O36:Q36"/>
    <mergeCell ref="S36:W36"/>
    <mergeCell ref="Y36:AB36"/>
    <mergeCell ref="AC36:AF36"/>
    <mergeCell ref="AM36:AN36"/>
    <mergeCell ref="N34:N35"/>
    <mergeCell ref="R34:R35"/>
    <mergeCell ref="X34:X35"/>
    <mergeCell ref="K37:M37"/>
    <mergeCell ref="O37:Q37"/>
    <mergeCell ref="S37:W37"/>
    <mergeCell ref="Y37:AB37"/>
    <mergeCell ref="AC37:AF37"/>
    <mergeCell ref="AM37:AN37"/>
    <mergeCell ref="A38:AQ38"/>
    <mergeCell ref="A39:E39"/>
    <mergeCell ref="Q39:V39"/>
    <mergeCell ref="AE39:AI39"/>
    <mergeCell ref="N36:N37"/>
    <mergeCell ref="R36:R37"/>
    <mergeCell ref="X36:X37"/>
    <mergeCell ref="A40:E40"/>
    <mergeCell ref="Q40:V40"/>
    <mergeCell ref="AE40:AI40"/>
    <mergeCell ref="A41:E41"/>
    <mergeCell ref="Q41:V41"/>
    <mergeCell ref="AE41:AI41"/>
    <mergeCell ref="AL41:AM41"/>
    <mergeCell ref="AO41:AQ41"/>
    <mergeCell ref="A42:E42"/>
    <mergeCell ref="Q42:V42"/>
    <mergeCell ref="AE42:AI42"/>
    <mergeCell ref="AL42:AM42"/>
    <mergeCell ref="AO42:AQ42"/>
    <mergeCell ref="AJ39:AQ40"/>
    <mergeCell ref="W39:AD40"/>
    <mergeCell ref="F39:P40"/>
    <mergeCell ref="F41:P42"/>
    <mergeCell ref="W41:AD42"/>
    <mergeCell ref="A43:E43"/>
    <mergeCell ref="Q43:V43"/>
    <mergeCell ref="AE43:AI43"/>
    <mergeCell ref="A44:E44"/>
    <mergeCell ref="Q44:V44"/>
    <mergeCell ref="AE44:AI44"/>
    <mergeCell ref="A45:E45"/>
    <mergeCell ref="AE45:AI45"/>
    <mergeCell ref="A46:E46"/>
    <mergeCell ref="AE46:AI46"/>
    <mergeCell ref="F43:P44"/>
    <mergeCell ref="F45:AD46"/>
    <mergeCell ref="AO50:AQ50"/>
    <mergeCell ref="A51:E51"/>
    <mergeCell ref="Q51:V51"/>
    <mergeCell ref="AE51:AI51"/>
    <mergeCell ref="F49:P50"/>
    <mergeCell ref="W49:AD50"/>
    <mergeCell ref="A47:E47"/>
    <mergeCell ref="Q47:V47"/>
    <mergeCell ref="AE47:AI47"/>
    <mergeCell ref="A48:E48"/>
    <mergeCell ref="Q48:V48"/>
    <mergeCell ref="AE48:AI48"/>
    <mergeCell ref="A49:E49"/>
    <mergeCell ref="Q49:V49"/>
    <mergeCell ref="AE49:AI49"/>
    <mergeCell ref="F47:P48"/>
    <mergeCell ref="AJ47:AQ48"/>
    <mergeCell ref="AJ55:AQ56"/>
    <mergeCell ref="F57:P58"/>
    <mergeCell ref="W55:AD56"/>
    <mergeCell ref="F55:P56"/>
    <mergeCell ref="A52:E52"/>
    <mergeCell ref="Q52:V52"/>
    <mergeCell ref="AE52:AI52"/>
    <mergeCell ref="A53:E53"/>
    <mergeCell ref="AE53:AI53"/>
    <mergeCell ref="A54:E54"/>
    <mergeCell ref="AE54:AI54"/>
    <mergeCell ref="A55:E55"/>
    <mergeCell ref="Q55:V55"/>
    <mergeCell ref="AE55:AI55"/>
    <mergeCell ref="W51:AD52"/>
    <mergeCell ref="F51:P52"/>
    <mergeCell ref="Q57:V57"/>
    <mergeCell ref="AE57:AI57"/>
    <mergeCell ref="AL57:AM57"/>
    <mergeCell ref="AO57:AQ57"/>
    <mergeCell ref="A58:E58"/>
    <mergeCell ref="Q58:V58"/>
    <mergeCell ref="AE58:AI58"/>
    <mergeCell ref="AL58:AM58"/>
    <mergeCell ref="AO58:AQ58"/>
    <mergeCell ref="AN57:AN58"/>
    <mergeCell ref="A79:E79"/>
    <mergeCell ref="H79:I79"/>
    <mergeCell ref="M79:N79"/>
    <mergeCell ref="P79:U79"/>
    <mergeCell ref="A80:AQ80"/>
    <mergeCell ref="J78:J79"/>
    <mergeCell ref="O78:O79"/>
    <mergeCell ref="V78:V79"/>
    <mergeCell ref="B66:O66"/>
    <mergeCell ref="B67:O67"/>
    <mergeCell ref="P67:S67"/>
    <mergeCell ref="Z67:AF67"/>
    <mergeCell ref="B68:L68"/>
    <mergeCell ref="N68:S68"/>
    <mergeCell ref="Z68:AF68"/>
    <mergeCell ref="A76:E76"/>
    <mergeCell ref="A77:E77"/>
    <mergeCell ref="F72:R73"/>
    <mergeCell ref="AN74:AN75"/>
    <mergeCell ref="AQ78:AQ79"/>
    <mergeCell ref="AG74:AI75"/>
    <mergeCell ref="A78:E78"/>
    <mergeCell ref="H78:I78"/>
    <mergeCell ref="M78:N78"/>
    <mergeCell ref="A95:AQ95"/>
    <mergeCell ref="A104:AQ104"/>
    <mergeCell ref="B107:L107"/>
    <mergeCell ref="M107:AE107"/>
    <mergeCell ref="AF107:AK107"/>
    <mergeCell ref="AL107:AQ107"/>
    <mergeCell ref="B108:L108"/>
    <mergeCell ref="M108:AE108"/>
    <mergeCell ref="AF108:AK108"/>
    <mergeCell ref="AL108:AQ108"/>
    <mergeCell ref="M100:AE101"/>
    <mergeCell ref="B100:L101"/>
    <mergeCell ref="M98:AE99"/>
    <mergeCell ref="P78:U78"/>
    <mergeCell ref="AL85:AQ86"/>
    <mergeCell ref="P83:AE84"/>
    <mergeCell ref="P85:AE86"/>
    <mergeCell ref="P87:AE88"/>
    <mergeCell ref="P89:AE90"/>
    <mergeCell ref="P91:AE92"/>
    <mergeCell ref="P93:AE94"/>
    <mergeCell ref="B98:L99"/>
    <mergeCell ref="B109:L109"/>
    <mergeCell ref="M109:AE109"/>
    <mergeCell ref="AF109:AK109"/>
    <mergeCell ref="AL109:AQ109"/>
    <mergeCell ref="B110:L110"/>
    <mergeCell ref="M110:AE110"/>
    <mergeCell ref="AF110:AK110"/>
    <mergeCell ref="AL110:AQ110"/>
    <mergeCell ref="B111:L111"/>
    <mergeCell ref="M111:AE111"/>
    <mergeCell ref="AF111:AK111"/>
    <mergeCell ref="AL111:AQ111"/>
    <mergeCell ref="A112:AQ112"/>
    <mergeCell ref="B115:H115"/>
    <mergeCell ref="I115:O115"/>
    <mergeCell ref="P115:AA115"/>
    <mergeCell ref="AB115:AQ115"/>
    <mergeCell ref="B116:H116"/>
    <mergeCell ref="I116:O116"/>
    <mergeCell ref="P116:AA116"/>
    <mergeCell ref="AB116:AQ116"/>
    <mergeCell ref="B117:H117"/>
    <mergeCell ref="I117:O117"/>
    <mergeCell ref="P117:AA117"/>
    <mergeCell ref="AB117:AQ117"/>
    <mergeCell ref="B118:H118"/>
    <mergeCell ref="I118:O118"/>
    <mergeCell ref="P118:AA118"/>
    <mergeCell ref="AB118:AQ118"/>
    <mergeCell ref="B119:H119"/>
    <mergeCell ref="I119:O119"/>
    <mergeCell ref="P119:AA119"/>
    <mergeCell ref="AB119:AQ119"/>
    <mergeCell ref="B120:O120"/>
    <mergeCell ref="B121:O121"/>
    <mergeCell ref="B122:O122"/>
    <mergeCell ref="B123:O123"/>
    <mergeCell ref="A124:C124"/>
    <mergeCell ref="D124:AQ124"/>
    <mergeCell ref="A134:E134"/>
    <mergeCell ref="F134:Q134"/>
    <mergeCell ref="A137:Q137"/>
    <mergeCell ref="A143:AQ143"/>
    <mergeCell ref="A146:AQ146"/>
    <mergeCell ref="A149:AQ149"/>
    <mergeCell ref="A152:AQ152"/>
    <mergeCell ref="A155:AQ155"/>
    <mergeCell ref="A156:C156"/>
    <mergeCell ref="D156:J156"/>
    <mergeCell ref="K156:L156"/>
    <mergeCell ref="M156:P156"/>
    <mergeCell ref="Q156:T156"/>
    <mergeCell ref="U156:AN156"/>
    <mergeCell ref="AO156:AQ156"/>
    <mergeCell ref="AG144:AG145"/>
    <mergeCell ref="AG147:AG148"/>
    <mergeCell ref="AG153:AG154"/>
    <mergeCell ref="A144:AF145"/>
    <mergeCell ref="AN150:AQ151"/>
    <mergeCell ref="P150:Q151"/>
    <mergeCell ref="AL150:AM151"/>
    <mergeCell ref="R150:U151"/>
    <mergeCell ref="A150:O151"/>
    <mergeCell ref="V150:AK151"/>
    <mergeCell ref="AL144:AM145"/>
    <mergeCell ref="AL147:AM148"/>
    <mergeCell ref="A157:C157"/>
    <mergeCell ref="D157:J157"/>
    <mergeCell ref="K157:L157"/>
    <mergeCell ref="M157:P157"/>
    <mergeCell ref="Q157:T157"/>
    <mergeCell ref="U157:AN157"/>
    <mergeCell ref="AO157:AQ157"/>
    <mergeCell ref="A158:C158"/>
    <mergeCell ref="K158:L158"/>
    <mergeCell ref="M158:P158"/>
    <mergeCell ref="Q158:T158"/>
    <mergeCell ref="AO158:AQ158"/>
    <mergeCell ref="A159:C159"/>
    <mergeCell ref="K159:L159"/>
    <mergeCell ref="M159:P159"/>
    <mergeCell ref="Q159:T159"/>
    <mergeCell ref="AO159:AQ159"/>
    <mergeCell ref="A160:C160"/>
    <mergeCell ref="K160:L160"/>
    <mergeCell ref="M160:P160"/>
    <mergeCell ref="Q160:T160"/>
    <mergeCell ref="AO160:AQ160"/>
    <mergeCell ref="Q163:T163"/>
    <mergeCell ref="AO163:AQ163"/>
    <mergeCell ref="A164:C164"/>
    <mergeCell ref="K164:L164"/>
    <mergeCell ref="M164:P164"/>
    <mergeCell ref="Q164:T164"/>
    <mergeCell ref="AO164:AQ164"/>
    <mergeCell ref="A161:C161"/>
    <mergeCell ref="K161:L161"/>
    <mergeCell ref="M161:P161"/>
    <mergeCell ref="Q161:T161"/>
    <mergeCell ref="AO161:AQ161"/>
    <mergeCell ref="A162:C162"/>
    <mergeCell ref="K162:L162"/>
    <mergeCell ref="M162:P162"/>
    <mergeCell ref="Q162:T162"/>
    <mergeCell ref="AO162:AQ162"/>
    <mergeCell ref="A167:C167"/>
    <mergeCell ref="K167:L167"/>
    <mergeCell ref="M167:P167"/>
    <mergeCell ref="Q167:T167"/>
    <mergeCell ref="AO167:AQ167"/>
    <mergeCell ref="A168:C168"/>
    <mergeCell ref="K168:L168"/>
    <mergeCell ref="M168:P168"/>
    <mergeCell ref="Q168:T168"/>
    <mergeCell ref="AO168:AQ168"/>
    <mergeCell ref="U166:AN167"/>
    <mergeCell ref="A166:C166"/>
    <mergeCell ref="K166:L166"/>
    <mergeCell ref="M166:P166"/>
    <mergeCell ref="Q166:T166"/>
    <mergeCell ref="AO166:AQ166"/>
    <mergeCell ref="A169:C169"/>
    <mergeCell ref="K169:L169"/>
    <mergeCell ref="M169:P169"/>
    <mergeCell ref="Q169:T169"/>
    <mergeCell ref="AO169:AQ169"/>
    <mergeCell ref="A170:C170"/>
    <mergeCell ref="K170:L170"/>
    <mergeCell ref="M170:P170"/>
    <mergeCell ref="Q170:T170"/>
    <mergeCell ref="AO170:AQ170"/>
    <mergeCell ref="A171:C171"/>
    <mergeCell ref="K171:L171"/>
    <mergeCell ref="M171:P171"/>
    <mergeCell ref="Q171:T171"/>
    <mergeCell ref="AO171:AQ171"/>
    <mergeCell ref="A172:C172"/>
    <mergeCell ref="K172:L172"/>
    <mergeCell ref="M172:P172"/>
    <mergeCell ref="Q172:T172"/>
    <mergeCell ref="AO172:AQ172"/>
    <mergeCell ref="D170:J171"/>
    <mergeCell ref="M173:P173"/>
    <mergeCell ref="Q173:T173"/>
    <mergeCell ref="AO173:AQ173"/>
    <mergeCell ref="A174:C174"/>
    <mergeCell ref="K174:L174"/>
    <mergeCell ref="M174:P174"/>
    <mergeCell ref="Q174:T174"/>
    <mergeCell ref="AO174:AQ174"/>
    <mergeCell ref="D172:J173"/>
    <mergeCell ref="U172:AN173"/>
    <mergeCell ref="Q175:T175"/>
    <mergeCell ref="AO175:AQ175"/>
    <mergeCell ref="A176:AQ176"/>
    <mergeCell ref="A177:AQ177"/>
    <mergeCell ref="A178:AQ178"/>
    <mergeCell ref="B179:G179"/>
    <mergeCell ref="R179:W179"/>
    <mergeCell ref="D174:J175"/>
    <mergeCell ref="U174:AN175"/>
    <mergeCell ref="R180:W180"/>
    <mergeCell ref="A181:AQ181"/>
    <mergeCell ref="B182:O182"/>
    <mergeCell ref="B183:O183"/>
    <mergeCell ref="B184:O184"/>
    <mergeCell ref="B185:O185"/>
    <mergeCell ref="A188:AQ188"/>
    <mergeCell ref="A189:AQ189"/>
    <mergeCell ref="H179:N180"/>
    <mergeCell ref="X179:AQ180"/>
    <mergeCell ref="T195:W195"/>
    <mergeCell ref="Z195:AB195"/>
    <mergeCell ref="AD195:AF195"/>
    <mergeCell ref="A207:AP207"/>
    <mergeCell ref="A218:AQ218"/>
    <mergeCell ref="A219:AQ219"/>
    <mergeCell ref="B220:L220"/>
    <mergeCell ref="M220:AQ220"/>
    <mergeCell ref="A190:AQ190"/>
    <mergeCell ref="A191:AQ191"/>
    <mergeCell ref="A192:D192"/>
    <mergeCell ref="T192:W192"/>
    <mergeCell ref="A193:D193"/>
    <mergeCell ref="T193:W193"/>
    <mergeCell ref="A194:D194"/>
    <mergeCell ref="T194:W194"/>
    <mergeCell ref="Z194:AB194"/>
    <mergeCell ref="AD194:AF194"/>
    <mergeCell ref="AC194:AC195"/>
    <mergeCell ref="AA230:AF230"/>
    <mergeCell ref="A232:B232"/>
    <mergeCell ref="C232:G232"/>
    <mergeCell ref="I232:J232"/>
    <mergeCell ref="K232:P232"/>
    <mergeCell ref="AH232:AN232"/>
    <mergeCell ref="A221:AQ221"/>
    <mergeCell ref="A227:AQ227"/>
    <mergeCell ref="A229:B229"/>
    <mergeCell ref="C229:G229"/>
    <mergeCell ref="I229:J229"/>
    <mergeCell ref="K229:P229"/>
    <mergeCell ref="Q229:R229"/>
    <mergeCell ref="S229:X229"/>
    <mergeCell ref="Y229:Z229"/>
    <mergeCell ref="AA229:AF229"/>
    <mergeCell ref="AH229:AN229"/>
    <mergeCell ref="AO229:AQ229"/>
    <mergeCell ref="AO232:AQ232"/>
    <mergeCell ref="C230:G230"/>
    <mergeCell ref="K230:P230"/>
    <mergeCell ref="S230:X230"/>
    <mergeCell ref="AF247:AH247"/>
    <mergeCell ref="A248:E248"/>
    <mergeCell ref="AB248:AH248"/>
    <mergeCell ref="A249:E249"/>
    <mergeCell ref="AB249:AH249"/>
    <mergeCell ref="AI249:AJ249"/>
    <mergeCell ref="AK249:AQ249"/>
    <mergeCell ref="A251:E251"/>
    <mergeCell ref="AA251:AH251"/>
    <mergeCell ref="AI251:AQ251"/>
    <mergeCell ref="C233:G233"/>
    <mergeCell ref="K233:P233"/>
    <mergeCell ref="A234:B234"/>
    <mergeCell ref="C234:AN234"/>
    <mergeCell ref="C235:AN235"/>
    <mergeCell ref="A236:AQ236"/>
    <mergeCell ref="A245:AQ245"/>
    <mergeCell ref="A246:D246"/>
    <mergeCell ref="E246:AQ246"/>
    <mergeCell ref="B256:O256"/>
    <mergeCell ref="B257:O257"/>
    <mergeCell ref="A81:A82"/>
    <mergeCell ref="A83:A84"/>
    <mergeCell ref="A85:A86"/>
    <mergeCell ref="A87:A88"/>
    <mergeCell ref="A89:A90"/>
    <mergeCell ref="A91:A92"/>
    <mergeCell ref="A93:A94"/>
    <mergeCell ref="A96:A97"/>
    <mergeCell ref="A98:A99"/>
    <mergeCell ref="A100:A101"/>
    <mergeCell ref="A102:A103"/>
    <mergeCell ref="A105:A106"/>
    <mergeCell ref="A113:A114"/>
    <mergeCell ref="A135:A136"/>
    <mergeCell ref="A138:A139"/>
    <mergeCell ref="A195:D195"/>
    <mergeCell ref="B180:G180"/>
    <mergeCell ref="A175:C175"/>
    <mergeCell ref="K175:L175"/>
    <mergeCell ref="M175:P175"/>
    <mergeCell ref="A173:C173"/>
    <mergeCell ref="K173:L173"/>
    <mergeCell ref="AJ61:AQ62"/>
    <mergeCell ref="AJ53:AQ54"/>
    <mergeCell ref="AJ51:AQ52"/>
    <mergeCell ref="F59:P60"/>
    <mergeCell ref="W59:AD60"/>
    <mergeCell ref="B64:O65"/>
    <mergeCell ref="AK74:AL75"/>
    <mergeCell ref="AO74:AP75"/>
    <mergeCell ref="AJ57:AK58"/>
    <mergeCell ref="V72:AQ73"/>
    <mergeCell ref="A59:E59"/>
    <mergeCell ref="Q59:V59"/>
    <mergeCell ref="AE59:AI59"/>
    <mergeCell ref="A60:E60"/>
    <mergeCell ref="Q60:V60"/>
    <mergeCell ref="AE60:AI60"/>
    <mergeCell ref="A61:E61"/>
    <mergeCell ref="AE61:AI61"/>
    <mergeCell ref="A62:E62"/>
    <mergeCell ref="AE62:AI62"/>
    <mergeCell ref="A56:E56"/>
    <mergeCell ref="Q56:V56"/>
    <mergeCell ref="AE56:AI56"/>
    <mergeCell ref="A57:E57"/>
    <mergeCell ref="AJ59:AQ60"/>
    <mergeCell ref="W43:AD44"/>
    <mergeCell ref="W57:AD58"/>
    <mergeCell ref="F53:AD54"/>
    <mergeCell ref="F248:Z249"/>
    <mergeCell ref="F251:Z252"/>
    <mergeCell ref="D168:J169"/>
    <mergeCell ref="U168:AN169"/>
    <mergeCell ref="D166:J167"/>
    <mergeCell ref="U158:AN159"/>
    <mergeCell ref="U170:AN171"/>
    <mergeCell ref="A125:AQ133"/>
    <mergeCell ref="M102:AE103"/>
    <mergeCell ref="AF102:AK103"/>
    <mergeCell ref="AL102:AQ103"/>
    <mergeCell ref="B102:L103"/>
    <mergeCell ref="M105:AE106"/>
    <mergeCell ref="AF105:AK106"/>
    <mergeCell ref="AL105:AQ106"/>
    <mergeCell ref="AF98:AK99"/>
    <mergeCell ref="AL98:AQ99"/>
    <mergeCell ref="AF96:AK97"/>
    <mergeCell ref="AL96:AQ97"/>
    <mergeCell ref="AF85:AK86"/>
    <mergeCell ref="A1:AQ2"/>
    <mergeCell ref="F78:G79"/>
    <mergeCell ref="AG67:AQ68"/>
    <mergeCell ref="F10:S11"/>
    <mergeCell ref="K23:X24"/>
    <mergeCell ref="B105:L106"/>
    <mergeCell ref="P113:AA114"/>
    <mergeCell ref="AB113:AQ114"/>
    <mergeCell ref="B113:H114"/>
    <mergeCell ref="I113:O114"/>
    <mergeCell ref="T67:Y68"/>
    <mergeCell ref="AF87:AK88"/>
    <mergeCell ref="AL87:AQ88"/>
    <mergeCell ref="AF91:AK92"/>
    <mergeCell ref="AL91:AQ92"/>
    <mergeCell ref="AF83:AK84"/>
    <mergeCell ref="AL83:AQ84"/>
    <mergeCell ref="AF93:AK94"/>
    <mergeCell ref="AL93:AQ94"/>
    <mergeCell ref="AF89:AK90"/>
    <mergeCell ref="AL89:AQ90"/>
    <mergeCell ref="AF100:AK101"/>
    <mergeCell ref="AL100:AQ101"/>
    <mergeCell ref="W78:AP79"/>
    <mergeCell ref="F61:AD62"/>
    <mergeCell ref="A74:E75"/>
    <mergeCell ref="F74:O75"/>
    <mergeCell ref="P74:U75"/>
    <mergeCell ref="B96:L97"/>
    <mergeCell ref="M96:AE97"/>
    <mergeCell ref="P81:AE82"/>
    <mergeCell ref="V74:AF75"/>
    <mergeCell ref="S72:U73"/>
    <mergeCell ref="F76:AQ77"/>
    <mergeCell ref="A70:AQ71"/>
    <mergeCell ref="A72:E73"/>
    <mergeCell ref="K78:L79"/>
    <mergeCell ref="AF81:AK82"/>
    <mergeCell ref="AL81:AQ82"/>
    <mergeCell ref="B81:O82"/>
    <mergeCell ref="B83:O84"/>
    <mergeCell ref="B85:O86"/>
    <mergeCell ref="B87:O88"/>
    <mergeCell ref="B89:O90"/>
    <mergeCell ref="AJ74:AJ75"/>
    <mergeCell ref="AM74:AM75"/>
    <mergeCell ref="B91:O92"/>
    <mergeCell ref="B93:O94"/>
    <mergeCell ref="AJ43:AQ44"/>
    <mergeCell ref="AJ49:AK50"/>
    <mergeCell ref="H31:T32"/>
    <mergeCell ref="AB31:AD32"/>
    <mergeCell ref="AE31:AQ32"/>
    <mergeCell ref="I36:J37"/>
    <mergeCell ref="AO34:AQ35"/>
    <mergeCell ref="AO36:AQ37"/>
    <mergeCell ref="AJ45:AQ46"/>
    <mergeCell ref="AJ41:AK42"/>
    <mergeCell ref="W47:AD48"/>
    <mergeCell ref="AG36:AL37"/>
    <mergeCell ref="AG34:AL35"/>
    <mergeCell ref="A36:H37"/>
    <mergeCell ref="I34:J35"/>
    <mergeCell ref="A34:H35"/>
    <mergeCell ref="AN41:AN42"/>
    <mergeCell ref="AN49:AN50"/>
    <mergeCell ref="AL49:AM49"/>
    <mergeCell ref="AO49:AQ49"/>
    <mergeCell ref="A50:E50"/>
    <mergeCell ref="Q50:V50"/>
    <mergeCell ref="AE50:AI50"/>
    <mergeCell ref="AL50:AM50"/>
    <mergeCell ref="AH144:AK145"/>
    <mergeCell ref="AN144:AQ145"/>
    <mergeCell ref="A165:C165"/>
    <mergeCell ref="K165:L165"/>
    <mergeCell ref="M165:P165"/>
    <mergeCell ref="Q165:T165"/>
    <mergeCell ref="AO165:AQ165"/>
    <mergeCell ref="U164:AN165"/>
    <mergeCell ref="A163:C163"/>
    <mergeCell ref="AN147:AQ148"/>
    <mergeCell ref="AL153:AM154"/>
    <mergeCell ref="AN153:AQ154"/>
    <mergeCell ref="AH153:AK154"/>
    <mergeCell ref="A153:AF154"/>
    <mergeCell ref="D164:J165"/>
    <mergeCell ref="D158:J159"/>
    <mergeCell ref="U160:AN161"/>
    <mergeCell ref="D160:J161"/>
    <mergeCell ref="U162:AN163"/>
    <mergeCell ref="D162:J163"/>
    <mergeCell ref="A147:AF148"/>
    <mergeCell ref="AH147:AK148"/>
    <mergeCell ref="K163:L163"/>
    <mergeCell ref="M163:P163"/>
    <mergeCell ref="B321:O328"/>
    <mergeCell ref="A210:AQ217"/>
    <mergeCell ref="A208:AQ209"/>
    <mergeCell ref="A203:AQ204"/>
    <mergeCell ref="A196:AQ200"/>
    <mergeCell ref="AG194:AQ195"/>
    <mergeCell ref="X194:Y195"/>
    <mergeCell ref="A186:AQ187"/>
    <mergeCell ref="A201:AQ202"/>
    <mergeCell ref="AI254:AQ255"/>
    <mergeCell ref="A205:AQ206"/>
    <mergeCell ref="A224:AQ226"/>
    <mergeCell ref="A222:AQ223"/>
    <mergeCell ref="B253:O254"/>
    <mergeCell ref="E194:S195"/>
    <mergeCell ref="A237:AQ244"/>
    <mergeCell ref="E192:S193"/>
    <mergeCell ref="X192:AQ193"/>
    <mergeCell ref="A252:E252"/>
    <mergeCell ref="AB252:AH252"/>
    <mergeCell ref="AI252:AQ252"/>
    <mergeCell ref="X254:AH254"/>
    <mergeCell ref="B255:O255"/>
    <mergeCell ref="X255:AH255"/>
    <mergeCell ref="AN141:AQ142"/>
    <mergeCell ref="AL141:AM142"/>
    <mergeCell ref="AB136:AQ137"/>
    <mergeCell ref="P138:V139"/>
    <mergeCell ref="Y138:AD139"/>
    <mergeCell ref="AB134:AQ135"/>
    <mergeCell ref="A141:AF142"/>
    <mergeCell ref="W138:X139"/>
    <mergeCell ref="AE138:AQ139"/>
    <mergeCell ref="B138:M139"/>
    <mergeCell ref="N138:O139"/>
    <mergeCell ref="B135:Q136"/>
    <mergeCell ref="R134:AA135"/>
    <mergeCell ref="R136:AA137"/>
    <mergeCell ref="AH141:AK142"/>
    <mergeCell ref="A140:AQ140"/>
    <mergeCell ref="AG141:AG142"/>
  </mergeCells>
  <phoneticPr fontId="96"/>
  <dataValidations count="1">
    <dataValidation allowBlank="1" showErrorMessage="1" prompt="Enter the date of birth in the following format YYYY/MM/DD" sqref="M158 M160 M162 M164 M166 M168 M170 M172 M174 L227:L235" xr:uid="{00000000-0002-0000-0100-000000000000}"/>
  </dataValidations>
  <printOptions horizontalCentered="1" verticalCentered="1"/>
  <pageMargins left="0.118110236220472" right="0.118110236220472" top="0.15748031496063" bottom="0.15748031496063" header="0.31496062992126" footer="0.31496062992126"/>
  <pageSetup paperSize="9" scale="74" fitToHeight="4" orientation="portrait" r:id="rId1"/>
  <rowBreaks count="3" manualBreakCount="3">
    <brk id="69" max="42" man="1"/>
    <brk id="123" max="42" man="1"/>
    <brk id="185" max="4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U704"/>
  <sheetViews>
    <sheetView topLeftCell="A679" zoomScaleNormal="100" workbookViewId="0">
      <selection activeCell="G693" sqref="G693"/>
    </sheetView>
  </sheetViews>
  <sheetFormatPr defaultColWidth="9.140625" defaultRowHeight="16.5" customHeight="1"/>
  <cols>
    <col min="1" max="1" width="8.5703125" style="69" customWidth="1"/>
    <col min="2" max="2" width="44" style="70" customWidth="1"/>
    <col min="3" max="3" width="32.7109375" style="71" customWidth="1"/>
    <col min="4" max="4" width="5.7109375" style="69" customWidth="1"/>
    <col min="5" max="5" width="8.5703125" style="69" customWidth="1"/>
    <col min="6" max="6" width="37.5703125" style="69" customWidth="1"/>
    <col min="7" max="7" width="37.140625" style="69" customWidth="1"/>
    <col min="8" max="8" width="22.140625" style="72" customWidth="1"/>
    <col min="9" max="9" width="11.85546875" style="69" customWidth="1"/>
    <col min="10" max="10" width="15.140625" style="69" customWidth="1"/>
    <col min="11" max="11" width="16.7109375" style="73" customWidth="1"/>
    <col min="12" max="12" width="3.28515625" style="73" customWidth="1"/>
    <col min="13" max="13" width="3.28515625" style="74" customWidth="1"/>
    <col min="14" max="14" width="3.42578125" style="69" customWidth="1"/>
    <col min="15" max="15" width="8.140625" style="69" customWidth="1"/>
    <col min="16" max="16" width="155.28515625" style="75" customWidth="1"/>
    <col min="17" max="17" width="200" style="71" customWidth="1"/>
    <col min="18" max="18" width="53" style="71" customWidth="1"/>
    <col min="19" max="19" width="28.85546875" style="69" customWidth="1"/>
    <col min="20" max="20" width="170.85546875" style="69" customWidth="1"/>
    <col min="21" max="21" width="134.85546875" style="69" customWidth="1"/>
    <col min="22" max="22" width="75.85546875" style="69" customWidth="1"/>
    <col min="23" max="23" width="255.7109375" style="69" customWidth="1"/>
    <col min="24" max="24" width="54" style="69" customWidth="1"/>
    <col min="25" max="25" width="72.140625" style="69" customWidth="1"/>
    <col min="26" max="26" width="20.42578125" style="69" customWidth="1"/>
    <col min="27" max="27" width="82.7109375" style="69" customWidth="1"/>
    <col min="28" max="28" width="15.42578125" style="69" customWidth="1"/>
    <col min="29" max="29" width="48" style="69" customWidth="1"/>
    <col min="30" max="30" width="73.7109375" style="69" customWidth="1"/>
    <col min="31" max="31" width="90" style="69" customWidth="1"/>
    <col min="32" max="32" width="23.7109375" style="69" customWidth="1"/>
    <col min="33" max="33" width="27.42578125" style="69" customWidth="1"/>
    <col min="34" max="34" width="13.42578125" style="69" customWidth="1"/>
    <col min="35" max="35" width="17.85546875" style="69" customWidth="1"/>
    <col min="36" max="36" width="22.5703125" style="69" customWidth="1"/>
    <col min="37" max="37" width="16.28515625" style="69" customWidth="1"/>
    <col min="38" max="38" width="8.140625" style="69" customWidth="1"/>
    <col min="39" max="40" width="12.42578125" style="69" customWidth="1"/>
    <col min="41" max="41" width="21.42578125" style="69" customWidth="1"/>
    <col min="42" max="42" width="45.5703125" style="69" customWidth="1"/>
    <col min="43" max="43" width="15" style="69" customWidth="1"/>
    <col min="44" max="44" width="14.28515625" style="69" customWidth="1"/>
    <col min="45" max="45" width="17" style="69" customWidth="1"/>
    <col min="46" max="46" width="17.5703125" style="69" customWidth="1"/>
    <col min="47" max="47" width="20.5703125" style="69" customWidth="1"/>
    <col min="48" max="48" width="16.42578125" style="69" customWidth="1"/>
    <col min="49" max="49" width="13.5703125" style="69" customWidth="1"/>
    <col min="50" max="50" width="43.42578125" style="69" customWidth="1"/>
    <col min="51" max="51" width="15.85546875" style="69" customWidth="1"/>
    <col min="52" max="52" width="13.42578125" style="69" customWidth="1"/>
    <col min="53" max="53" width="15.85546875" style="69" customWidth="1"/>
    <col min="54" max="54" width="13.42578125" style="69" customWidth="1"/>
    <col min="55" max="55" width="17.85546875" style="69" customWidth="1"/>
    <col min="56" max="56" width="34.85546875" style="69" customWidth="1"/>
    <col min="57" max="57" width="12.28515625" style="69" customWidth="1"/>
    <col min="58" max="59" width="14.5703125" style="69" customWidth="1"/>
    <col min="60" max="60" width="14" style="69" customWidth="1"/>
    <col min="61" max="61" width="15.28515625" style="69" customWidth="1"/>
    <col min="62" max="62" width="21.85546875" style="69" customWidth="1"/>
    <col min="63" max="63" width="5.5703125" style="69" customWidth="1"/>
    <col min="64" max="64" width="23.28515625" style="69" customWidth="1"/>
    <col min="65" max="65" width="18.28515625" style="69" customWidth="1"/>
    <col min="66" max="66" width="66" style="69" customWidth="1"/>
    <col min="67" max="68" width="7" style="69" customWidth="1"/>
    <col min="69" max="69" width="18.7109375" style="69" customWidth="1"/>
    <col min="70" max="70" width="10" style="69" customWidth="1"/>
    <col min="71" max="71" width="20.85546875" style="69" customWidth="1"/>
    <col min="72" max="72" width="30.140625" style="69" customWidth="1"/>
    <col min="73" max="73" width="53" style="69" customWidth="1"/>
    <col min="74" max="74" width="22.7109375" style="69" customWidth="1"/>
    <col min="75" max="75" width="19.42578125" style="69" customWidth="1"/>
    <col min="76" max="77" width="18.7109375" style="69" customWidth="1"/>
    <col min="78" max="78" width="24" style="69" customWidth="1"/>
    <col min="79" max="79" width="23.140625" style="69" customWidth="1"/>
    <col min="80" max="80" width="19.140625" style="69" customWidth="1"/>
    <col min="81" max="81" width="20.42578125" style="69" customWidth="1"/>
    <col min="82" max="82" width="20.7109375" style="69" customWidth="1"/>
    <col min="83" max="83" width="26.85546875" style="69" customWidth="1"/>
    <col min="84" max="84" width="20.28515625" style="69" customWidth="1"/>
    <col min="85" max="85" width="11.85546875" style="69" customWidth="1"/>
    <col min="86" max="86" width="17.85546875" style="69" customWidth="1"/>
    <col min="87" max="87" width="27" style="69" customWidth="1"/>
    <col min="88" max="88" width="20.7109375" style="69" customWidth="1"/>
    <col min="89" max="89" width="23.140625" style="69" customWidth="1"/>
    <col min="90" max="90" width="3.28515625" style="69" customWidth="1"/>
    <col min="91" max="91" width="19.85546875" style="69" customWidth="1"/>
    <col min="92" max="92" width="33.85546875" style="69" customWidth="1"/>
    <col min="93" max="93" width="14.85546875" style="69" customWidth="1"/>
    <col min="94" max="94" width="16.5703125" style="69" customWidth="1"/>
    <col min="95" max="95" width="13.42578125" style="69" customWidth="1"/>
    <col min="96" max="96" width="12.85546875" style="69" customWidth="1"/>
    <col min="97" max="97" width="14.42578125" style="69" customWidth="1"/>
    <col min="98" max="98" width="13.5703125" style="69" customWidth="1"/>
    <col min="99" max="16384" width="9.140625" style="69"/>
  </cols>
  <sheetData>
    <row r="1" spans="1:48" ht="16.5" customHeight="1">
      <c r="A1" s="76"/>
      <c r="B1" s="77"/>
      <c r="C1" s="78"/>
      <c r="D1" s="77"/>
      <c r="E1" s="77"/>
      <c r="F1" s="77"/>
      <c r="H1" s="69"/>
      <c r="K1" s="182" t="s">
        <v>126</v>
      </c>
      <c r="L1" s="182" t="s">
        <v>127</v>
      </c>
      <c r="M1" s="182" t="s">
        <v>128</v>
      </c>
    </row>
    <row r="2" spans="1:48" ht="16.5" customHeight="1">
      <c r="A2" s="79" t="s">
        <v>129</v>
      </c>
      <c r="B2" s="80" t="s">
        <v>130</v>
      </c>
      <c r="C2" s="81" t="s">
        <v>3</v>
      </c>
      <c r="D2" s="82"/>
      <c r="E2" s="1988" t="s">
        <v>131</v>
      </c>
      <c r="F2" s="1989"/>
      <c r="G2" s="1990" t="s">
        <v>132</v>
      </c>
      <c r="H2" s="1991"/>
      <c r="I2" s="1992"/>
      <c r="J2" s="69">
        <v>2010</v>
      </c>
      <c r="K2" s="74">
        <v>2024</v>
      </c>
      <c r="L2" s="69">
        <v>1</v>
      </c>
      <c r="M2" s="69">
        <v>1</v>
      </c>
      <c r="N2" s="75"/>
      <c r="O2" s="71"/>
      <c r="P2" s="71"/>
      <c r="Q2" s="69"/>
      <c r="R2" s="69"/>
    </row>
    <row r="3" spans="1:48" ht="16.5" customHeight="1">
      <c r="A3" s="1915" t="s">
        <v>133</v>
      </c>
      <c r="B3" s="83" t="s">
        <v>134</v>
      </c>
      <c r="C3" s="84" t="s">
        <v>135</v>
      </c>
      <c r="D3" s="82"/>
      <c r="E3" s="2010" t="s">
        <v>136</v>
      </c>
      <c r="F3" s="85" t="s">
        <v>5</v>
      </c>
      <c r="G3" s="86" t="s">
        <v>137</v>
      </c>
      <c r="H3" s="87" t="s">
        <v>89</v>
      </c>
      <c r="I3" s="119" t="s">
        <v>5</v>
      </c>
      <c r="J3" s="69">
        <v>2011</v>
      </c>
      <c r="K3" s="74">
        <v>2023</v>
      </c>
      <c r="L3" s="69">
        <v>2</v>
      </c>
      <c r="M3" s="69">
        <v>2</v>
      </c>
      <c r="N3" s="75"/>
      <c r="O3" s="71"/>
      <c r="P3" s="71"/>
      <c r="Q3" s="69"/>
      <c r="R3" s="69"/>
    </row>
    <row r="4" spans="1:48" ht="16.5" customHeight="1">
      <c r="A4" s="1916"/>
      <c r="B4" s="88" t="s">
        <v>0</v>
      </c>
      <c r="C4" s="89" t="s">
        <v>138</v>
      </c>
      <c r="D4" s="82"/>
      <c r="E4" s="2011"/>
      <c r="F4" s="69" t="s">
        <v>89</v>
      </c>
      <c r="G4" s="90" t="s">
        <v>139</v>
      </c>
      <c r="H4" s="91" t="s">
        <v>5</v>
      </c>
      <c r="I4" s="122" t="s">
        <v>89</v>
      </c>
      <c r="J4" s="69">
        <v>2012</v>
      </c>
      <c r="K4" s="74">
        <v>2022</v>
      </c>
      <c r="L4" s="69">
        <v>3</v>
      </c>
      <c r="M4" s="69">
        <v>3</v>
      </c>
      <c r="N4" s="75"/>
      <c r="O4" s="71"/>
      <c r="P4" s="71"/>
      <c r="Q4" s="69"/>
      <c r="R4" s="69"/>
    </row>
    <row r="5" spans="1:48" ht="16.5" customHeight="1">
      <c r="A5" s="1916"/>
      <c r="B5" s="92" t="s">
        <v>140</v>
      </c>
      <c r="C5" s="93" t="s">
        <v>141</v>
      </c>
      <c r="D5" s="82"/>
      <c r="E5" s="2012" t="s">
        <v>142</v>
      </c>
      <c r="F5" s="85" t="s">
        <v>18</v>
      </c>
      <c r="G5" s="94" t="s">
        <v>102</v>
      </c>
      <c r="H5" s="91" t="s">
        <v>89</v>
      </c>
      <c r="I5" s="122" t="s">
        <v>5</v>
      </c>
      <c r="J5" s="69">
        <v>2013</v>
      </c>
      <c r="K5" s="74">
        <v>2021</v>
      </c>
      <c r="L5" s="69">
        <v>4</v>
      </c>
      <c r="M5" s="69">
        <v>4</v>
      </c>
      <c r="N5" s="75"/>
      <c r="O5" s="183">
        <v>1</v>
      </c>
      <c r="P5" s="183">
        <v>2</v>
      </c>
      <c r="Q5" s="218">
        <v>3</v>
      </c>
      <c r="R5" s="218">
        <v>4</v>
      </c>
      <c r="S5" s="218">
        <v>5</v>
      </c>
      <c r="T5" s="218">
        <v>6</v>
      </c>
      <c r="U5" s="218">
        <v>7</v>
      </c>
      <c r="V5" s="218">
        <v>8</v>
      </c>
      <c r="W5" s="218">
        <v>9</v>
      </c>
      <c r="X5" s="218">
        <v>10</v>
      </c>
      <c r="Y5" s="218">
        <v>11</v>
      </c>
      <c r="Z5" s="218">
        <v>12</v>
      </c>
      <c r="AA5" s="218">
        <v>13</v>
      </c>
      <c r="AB5" s="218">
        <v>14</v>
      </c>
      <c r="AC5" s="218">
        <v>15</v>
      </c>
      <c r="AD5" s="218">
        <v>16</v>
      </c>
      <c r="AE5" s="218">
        <v>17</v>
      </c>
      <c r="AF5" s="218">
        <v>18</v>
      </c>
      <c r="AG5" s="218">
        <v>19</v>
      </c>
      <c r="AH5" s="218">
        <v>20</v>
      </c>
      <c r="AI5" s="218">
        <v>21</v>
      </c>
      <c r="AJ5" s="218">
        <v>22</v>
      </c>
      <c r="AK5" s="218">
        <v>23</v>
      </c>
      <c r="AL5" s="218">
        <v>24</v>
      </c>
      <c r="AM5" s="218">
        <v>25</v>
      </c>
      <c r="AN5" s="218">
        <v>26</v>
      </c>
      <c r="AO5" s="218">
        <v>27</v>
      </c>
      <c r="AP5" s="218">
        <v>28</v>
      </c>
      <c r="AQ5" s="218">
        <v>29</v>
      </c>
      <c r="AR5" s="218">
        <v>30</v>
      </c>
      <c r="AS5" s="218">
        <v>31</v>
      </c>
      <c r="AT5" s="218">
        <v>32</v>
      </c>
      <c r="AU5" s="218">
        <v>33</v>
      </c>
      <c r="AV5" s="218">
        <v>34</v>
      </c>
    </row>
    <row r="6" spans="1:48" ht="16.5" customHeight="1">
      <c r="A6" s="1916"/>
      <c r="B6" s="95" t="s">
        <v>143</v>
      </c>
      <c r="C6" s="96" t="s">
        <v>144</v>
      </c>
      <c r="E6" s="2013"/>
      <c r="F6" s="85" t="s">
        <v>145</v>
      </c>
      <c r="G6" s="94" t="s">
        <v>103</v>
      </c>
      <c r="H6" s="91" t="s">
        <v>5</v>
      </c>
      <c r="I6" s="122" t="s">
        <v>89</v>
      </c>
      <c r="J6" s="69">
        <v>2014</v>
      </c>
      <c r="K6" s="74">
        <v>2020</v>
      </c>
      <c r="L6" s="69">
        <v>5</v>
      </c>
      <c r="M6" s="69">
        <v>5</v>
      </c>
      <c r="N6" s="75"/>
      <c r="O6" s="71"/>
      <c r="P6" s="71"/>
      <c r="Q6" s="69"/>
      <c r="R6" s="69"/>
    </row>
    <row r="7" spans="1:48" ht="16.5" customHeight="1">
      <c r="A7" s="1917"/>
      <c r="B7" s="97" t="s">
        <v>146</v>
      </c>
      <c r="C7" s="98" t="s">
        <v>147</v>
      </c>
      <c r="E7" s="2013"/>
      <c r="F7" s="99" t="s">
        <v>19</v>
      </c>
      <c r="G7" s="100" t="s">
        <v>148</v>
      </c>
      <c r="H7" s="91" t="s">
        <v>89</v>
      </c>
      <c r="I7" s="122" t="s">
        <v>5</v>
      </c>
      <c r="J7" s="69">
        <v>2015</v>
      </c>
      <c r="K7" s="74">
        <v>2019</v>
      </c>
      <c r="L7" s="69">
        <v>6</v>
      </c>
      <c r="M7" s="69">
        <v>6</v>
      </c>
      <c r="N7" s="75"/>
      <c r="O7" s="1960" t="s">
        <v>149</v>
      </c>
      <c r="P7" s="1961"/>
      <c r="Q7" s="1961"/>
      <c r="R7" s="1961"/>
      <c r="S7" s="1961"/>
      <c r="T7" s="1961"/>
      <c r="U7" s="1961"/>
      <c r="V7" s="1961"/>
      <c r="W7" s="1961"/>
      <c r="X7" s="1961"/>
      <c r="Y7" s="1961"/>
      <c r="Z7" s="1961"/>
      <c r="AA7" s="1961"/>
      <c r="AB7" s="1961"/>
      <c r="AC7" s="1961"/>
      <c r="AD7" s="1961"/>
      <c r="AE7" s="1961"/>
      <c r="AF7" s="1961"/>
      <c r="AG7" s="1961"/>
      <c r="AH7" s="1961"/>
      <c r="AI7" s="1961"/>
      <c r="AJ7" s="1961"/>
      <c r="AK7" s="1961"/>
      <c r="AL7" s="1961"/>
      <c r="AM7" s="1961"/>
      <c r="AN7" s="1961"/>
      <c r="AO7" s="1961"/>
      <c r="AP7" s="1961"/>
      <c r="AQ7" s="1961"/>
      <c r="AR7" s="1961"/>
      <c r="AS7" s="1961"/>
      <c r="AT7" s="1961"/>
      <c r="AU7" s="1961"/>
      <c r="AV7" s="1962"/>
    </row>
    <row r="8" spans="1:48" ht="16.5" customHeight="1">
      <c r="A8" s="1918" t="s">
        <v>150</v>
      </c>
      <c r="B8" s="101" t="s">
        <v>134</v>
      </c>
      <c r="C8" s="102" t="s">
        <v>151</v>
      </c>
      <c r="E8" s="2013"/>
      <c r="F8" s="99" t="s">
        <v>152</v>
      </c>
      <c r="G8" s="100" t="s">
        <v>153</v>
      </c>
      <c r="H8" s="91" t="s">
        <v>5</v>
      </c>
      <c r="I8" s="122" t="s">
        <v>89</v>
      </c>
      <c r="J8" s="69">
        <v>2016</v>
      </c>
      <c r="K8" s="74">
        <v>2018</v>
      </c>
      <c r="L8" s="69">
        <v>7</v>
      </c>
      <c r="M8" s="69">
        <v>7</v>
      </c>
      <c r="N8" s="75"/>
      <c r="O8" s="184" t="s">
        <v>134</v>
      </c>
      <c r="P8" s="185" t="s">
        <v>154</v>
      </c>
      <c r="Q8" s="219" t="s">
        <v>155</v>
      </c>
      <c r="R8" s="219" t="s">
        <v>156</v>
      </c>
      <c r="S8" s="219" t="s">
        <v>157</v>
      </c>
      <c r="T8" s="219" t="s">
        <v>158</v>
      </c>
      <c r="U8" s="219" t="s">
        <v>137</v>
      </c>
      <c r="V8" s="219" t="s">
        <v>139</v>
      </c>
      <c r="W8" s="219" t="s">
        <v>159</v>
      </c>
      <c r="X8" s="219" t="s">
        <v>160</v>
      </c>
      <c r="Y8" s="219" t="s">
        <v>161</v>
      </c>
      <c r="Z8" s="219" t="s">
        <v>162</v>
      </c>
      <c r="AA8" s="219" t="s">
        <v>163</v>
      </c>
      <c r="AB8" s="219" t="s">
        <v>164</v>
      </c>
      <c r="AC8" s="219" t="s">
        <v>165</v>
      </c>
      <c r="AD8" s="219" t="s">
        <v>166</v>
      </c>
      <c r="AE8" s="219" t="s">
        <v>167</v>
      </c>
      <c r="AF8" s="219" t="s">
        <v>168</v>
      </c>
      <c r="AG8" s="219" t="s">
        <v>169</v>
      </c>
      <c r="AH8" s="219" t="s">
        <v>170</v>
      </c>
      <c r="AI8" s="219" t="s">
        <v>171</v>
      </c>
      <c r="AJ8" s="219" t="s">
        <v>172</v>
      </c>
      <c r="AK8" s="219" t="s">
        <v>173</v>
      </c>
      <c r="AL8" s="219" t="s">
        <v>174</v>
      </c>
      <c r="AM8" s="219" t="s">
        <v>175</v>
      </c>
      <c r="AN8" s="219" t="s">
        <v>176</v>
      </c>
      <c r="AO8" s="219" t="s">
        <v>177</v>
      </c>
      <c r="AP8" s="219" t="s">
        <v>178</v>
      </c>
      <c r="AQ8" s="219" t="s">
        <v>179</v>
      </c>
      <c r="AR8" s="219" t="s">
        <v>180</v>
      </c>
      <c r="AS8" s="219" t="s">
        <v>181</v>
      </c>
      <c r="AT8" s="219" t="s">
        <v>182</v>
      </c>
      <c r="AU8" s="219" t="s">
        <v>183</v>
      </c>
      <c r="AV8" s="240" t="s">
        <v>184</v>
      </c>
    </row>
    <row r="9" spans="1:48" ht="16.5" customHeight="1">
      <c r="A9" s="1916"/>
      <c r="B9" s="88" t="s">
        <v>0</v>
      </c>
      <c r="C9" s="89" t="s">
        <v>185</v>
      </c>
      <c r="E9" s="2013"/>
      <c r="F9" s="99" t="s">
        <v>186</v>
      </c>
      <c r="G9" s="103" t="s">
        <v>187</v>
      </c>
      <c r="H9" s="91" t="s">
        <v>89</v>
      </c>
      <c r="I9" s="122" t="s">
        <v>5</v>
      </c>
      <c r="J9" s="69">
        <v>2017</v>
      </c>
      <c r="K9" s="74">
        <v>2017</v>
      </c>
      <c r="L9" s="69">
        <v>8</v>
      </c>
      <c r="M9" s="69">
        <v>8</v>
      </c>
      <c r="N9" s="75"/>
      <c r="O9" s="186" t="s">
        <v>0</v>
      </c>
      <c r="P9" s="187" t="s">
        <v>188</v>
      </c>
      <c r="Q9" s="220" t="s">
        <v>189</v>
      </c>
      <c r="R9" s="220" t="s">
        <v>190</v>
      </c>
      <c r="S9" s="220" t="s">
        <v>191</v>
      </c>
      <c r="T9" s="220" t="s">
        <v>101</v>
      </c>
      <c r="U9" s="220" t="s">
        <v>102</v>
      </c>
      <c r="V9" s="220" t="s">
        <v>103</v>
      </c>
      <c r="W9" s="220" t="s">
        <v>192</v>
      </c>
      <c r="X9" s="220" t="s">
        <v>193</v>
      </c>
      <c r="Y9" s="220" t="s">
        <v>194</v>
      </c>
      <c r="Z9" s="220" t="s">
        <v>195</v>
      </c>
      <c r="AA9" s="220" t="s">
        <v>196</v>
      </c>
      <c r="AB9" s="220" t="s">
        <v>197</v>
      </c>
      <c r="AC9" s="220" t="s">
        <v>198</v>
      </c>
      <c r="AD9" s="220" t="s">
        <v>24</v>
      </c>
      <c r="AE9" s="220" t="s">
        <v>199</v>
      </c>
      <c r="AF9" s="220" t="s">
        <v>200</v>
      </c>
      <c r="AG9" s="220" t="s">
        <v>201</v>
      </c>
      <c r="AH9" s="220" t="s">
        <v>25</v>
      </c>
      <c r="AI9" s="220" t="s">
        <v>202</v>
      </c>
      <c r="AJ9" s="220" t="s">
        <v>203</v>
      </c>
      <c r="AK9" s="220" t="s">
        <v>204</v>
      </c>
      <c r="AL9" s="220" t="s">
        <v>205</v>
      </c>
      <c r="AM9" s="220" t="s">
        <v>206</v>
      </c>
      <c r="AN9" s="220" t="s">
        <v>41</v>
      </c>
      <c r="AO9" s="220" t="s">
        <v>207</v>
      </c>
      <c r="AP9" s="220" t="s">
        <v>208</v>
      </c>
      <c r="AQ9" s="220" t="s">
        <v>209</v>
      </c>
      <c r="AR9" s="220" t="s">
        <v>210</v>
      </c>
      <c r="AS9" s="220" t="s">
        <v>211</v>
      </c>
      <c r="AT9" s="220" t="s">
        <v>212</v>
      </c>
      <c r="AU9" s="220" t="s">
        <v>213</v>
      </c>
      <c r="AV9" s="223" t="s">
        <v>214</v>
      </c>
    </row>
    <row r="10" spans="1:48" ht="16.5" customHeight="1">
      <c r="A10" s="1916"/>
      <c r="B10" s="92" t="s">
        <v>140</v>
      </c>
      <c r="C10" s="93" t="s">
        <v>215</v>
      </c>
      <c r="E10" s="2014"/>
      <c r="F10" s="104" t="s">
        <v>216</v>
      </c>
      <c r="G10" s="103" t="s">
        <v>217</v>
      </c>
      <c r="H10" s="91" t="s">
        <v>5</v>
      </c>
      <c r="I10" s="122" t="s">
        <v>89</v>
      </c>
      <c r="J10" s="69">
        <v>2018</v>
      </c>
      <c r="K10" s="74">
        <v>2016</v>
      </c>
      <c r="L10" s="69">
        <v>9</v>
      </c>
      <c r="M10" s="69">
        <v>9</v>
      </c>
      <c r="N10" s="75"/>
      <c r="O10" s="188" t="s">
        <v>140</v>
      </c>
      <c r="P10" s="187" t="s">
        <v>218</v>
      </c>
      <c r="Q10" s="220" t="s">
        <v>219</v>
      </c>
      <c r="R10" s="220" t="s">
        <v>156</v>
      </c>
      <c r="S10" s="220" t="s">
        <v>220</v>
      </c>
      <c r="T10" s="220" t="s">
        <v>221</v>
      </c>
      <c r="U10" s="220" t="s">
        <v>148</v>
      </c>
      <c r="V10" s="220" t="s">
        <v>153</v>
      </c>
      <c r="W10" s="220" t="s">
        <v>222</v>
      </c>
      <c r="X10" s="220" t="s">
        <v>223</v>
      </c>
      <c r="Y10" s="220" t="s">
        <v>224</v>
      </c>
      <c r="Z10" s="220" t="s">
        <v>225</v>
      </c>
      <c r="AA10" s="220" t="s">
        <v>226</v>
      </c>
      <c r="AB10" s="220" t="s">
        <v>227</v>
      </c>
      <c r="AC10" s="220" t="s">
        <v>228</v>
      </c>
      <c r="AD10" s="220" t="s">
        <v>229</v>
      </c>
      <c r="AE10" s="220" t="s">
        <v>230</v>
      </c>
      <c r="AF10" s="220" t="s">
        <v>231</v>
      </c>
      <c r="AG10" s="220" t="s">
        <v>232</v>
      </c>
      <c r="AH10" s="220" t="s">
        <v>233</v>
      </c>
      <c r="AI10" s="220" t="s">
        <v>234</v>
      </c>
      <c r="AJ10" s="220" t="s">
        <v>235</v>
      </c>
      <c r="AK10" s="220" t="s">
        <v>236</v>
      </c>
      <c r="AL10" s="220" t="s">
        <v>237</v>
      </c>
      <c r="AM10" s="220" t="s">
        <v>238</v>
      </c>
      <c r="AN10" s="220" t="s">
        <v>239</v>
      </c>
      <c r="AO10" s="220" t="s">
        <v>240</v>
      </c>
      <c r="AP10" s="220" t="s">
        <v>241</v>
      </c>
      <c r="AQ10" s="220" t="s">
        <v>242</v>
      </c>
      <c r="AR10" s="220" t="s">
        <v>243</v>
      </c>
      <c r="AS10" s="220" t="s">
        <v>244</v>
      </c>
      <c r="AT10" s="220" t="s">
        <v>245</v>
      </c>
      <c r="AU10" s="220" t="s">
        <v>246</v>
      </c>
      <c r="AV10" s="223" t="s">
        <v>247</v>
      </c>
    </row>
    <row r="11" spans="1:48" ht="16.5" customHeight="1">
      <c r="A11" s="1916"/>
      <c r="B11" s="95" t="s">
        <v>143</v>
      </c>
      <c r="C11" s="105" t="s">
        <v>248</v>
      </c>
      <c r="D11" s="106"/>
      <c r="G11" s="107" t="s">
        <v>102</v>
      </c>
      <c r="H11" s="91" t="s">
        <v>89</v>
      </c>
      <c r="I11" s="122" t="s">
        <v>5</v>
      </c>
      <c r="J11" s="69">
        <v>2019</v>
      </c>
      <c r="K11" s="74">
        <v>2015</v>
      </c>
      <c r="L11" s="69">
        <v>10</v>
      </c>
      <c r="M11" s="69">
        <v>10</v>
      </c>
      <c r="N11" s="75"/>
      <c r="O11" s="189" t="s">
        <v>143</v>
      </c>
      <c r="P11" s="187" t="s">
        <v>249</v>
      </c>
      <c r="Q11" s="221" t="s">
        <v>250</v>
      </c>
      <c r="R11" s="220" t="s">
        <v>251</v>
      </c>
      <c r="S11" s="220" t="s">
        <v>252</v>
      </c>
      <c r="T11" s="220" t="s">
        <v>253</v>
      </c>
      <c r="U11" s="220" t="s">
        <v>187</v>
      </c>
      <c r="V11" s="220" t="s">
        <v>217</v>
      </c>
      <c r="W11" s="220" t="s">
        <v>254</v>
      </c>
      <c r="X11" s="220" t="s">
        <v>255</v>
      </c>
      <c r="Y11" s="220" t="s">
        <v>256</v>
      </c>
      <c r="Z11" s="220" t="s">
        <v>257</v>
      </c>
      <c r="AA11" s="220" t="s">
        <v>258</v>
      </c>
      <c r="AB11" s="220" t="s">
        <v>259</v>
      </c>
      <c r="AC11" s="220" t="s">
        <v>260</v>
      </c>
      <c r="AD11" s="220" t="s">
        <v>261</v>
      </c>
      <c r="AE11" s="220" t="s">
        <v>262</v>
      </c>
      <c r="AF11" s="220" t="s">
        <v>263</v>
      </c>
      <c r="AG11" s="220" t="s">
        <v>264</v>
      </c>
      <c r="AH11" s="220" t="s">
        <v>265</v>
      </c>
      <c r="AI11" s="220" t="s">
        <v>266</v>
      </c>
      <c r="AJ11" s="220" t="s">
        <v>267</v>
      </c>
      <c r="AK11" s="220" t="s">
        <v>268</v>
      </c>
      <c r="AL11" s="220" t="s">
        <v>269</v>
      </c>
      <c r="AM11" s="220" t="s">
        <v>270</v>
      </c>
      <c r="AN11" s="220" t="s">
        <v>271</v>
      </c>
      <c r="AO11" s="220" t="s">
        <v>272</v>
      </c>
      <c r="AP11" s="220" t="s">
        <v>273</v>
      </c>
      <c r="AQ11" s="220" t="s">
        <v>274</v>
      </c>
      <c r="AR11" s="220" t="s">
        <v>275</v>
      </c>
      <c r="AS11" s="220" t="s">
        <v>276</v>
      </c>
      <c r="AT11" s="220" t="s">
        <v>277</v>
      </c>
      <c r="AU11" s="220" t="s">
        <v>278</v>
      </c>
      <c r="AV11" s="223" t="s">
        <v>279</v>
      </c>
    </row>
    <row r="12" spans="1:48" ht="16.5" customHeight="1">
      <c r="A12" s="1919"/>
      <c r="B12" s="108" t="s">
        <v>146</v>
      </c>
      <c r="C12" s="109" t="s">
        <v>280</v>
      </c>
      <c r="D12" s="110"/>
      <c r="G12" s="111" t="s">
        <v>103</v>
      </c>
      <c r="H12" s="112" t="s">
        <v>5</v>
      </c>
      <c r="I12" s="190" t="s">
        <v>89</v>
      </c>
      <c r="J12" s="69">
        <v>2020</v>
      </c>
      <c r="K12" s="74">
        <v>2014</v>
      </c>
      <c r="L12" s="69">
        <v>11</v>
      </c>
      <c r="M12" s="69">
        <v>11</v>
      </c>
      <c r="N12" s="75"/>
      <c r="O12" s="191" t="s">
        <v>146</v>
      </c>
      <c r="P12" s="192" t="s">
        <v>281</v>
      </c>
      <c r="Q12" s="222" t="s">
        <v>282</v>
      </c>
      <c r="R12" s="222" t="s">
        <v>100</v>
      </c>
      <c r="S12" s="222" t="s">
        <v>191</v>
      </c>
      <c r="T12" s="222" t="s">
        <v>101</v>
      </c>
      <c r="U12" s="222" t="s">
        <v>102</v>
      </c>
      <c r="V12" s="222" t="s">
        <v>103</v>
      </c>
      <c r="W12" s="222" t="s">
        <v>80</v>
      </c>
      <c r="X12" s="222" t="s">
        <v>283</v>
      </c>
      <c r="Y12" s="222" t="s">
        <v>284</v>
      </c>
      <c r="Z12" s="222" t="s">
        <v>33</v>
      </c>
      <c r="AA12" s="222" t="s">
        <v>196</v>
      </c>
      <c r="AB12" s="222" t="s">
        <v>197</v>
      </c>
      <c r="AC12" s="222" t="s">
        <v>198</v>
      </c>
      <c r="AD12" s="222" t="s">
        <v>34</v>
      </c>
      <c r="AE12" s="222" t="s">
        <v>81</v>
      </c>
      <c r="AF12" s="222" t="s">
        <v>200</v>
      </c>
      <c r="AG12" s="222" t="s">
        <v>285</v>
      </c>
      <c r="AH12" s="222" t="s">
        <v>286</v>
      </c>
      <c r="AI12" s="222" t="s">
        <v>35</v>
      </c>
      <c r="AJ12" s="222" t="s">
        <v>37</v>
      </c>
      <c r="AK12" s="222" t="s">
        <v>39</v>
      </c>
      <c r="AL12" s="222" t="s">
        <v>287</v>
      </c>
      <c r="AM12" s="222" t="s">
        <v>288</v>
      </c>
      <c r="AN12" s="222" t="s">
        <v>289</v>
      </c>
      <c r="AO12" s="222" t="s">
        <v>86</v>
      </c>
      <c r="AP12" s="222" t="s">
        <v>290</v>
      </c>
      <c r="AQ12" s="222" t="s">
        <v>291</v>
      </c>
      <c r="AR12" s="222" t="s">
        <v>292</v>
      </c>
      <c r="AS12" s="222" t="s">
        <v>293</v>
      </c>
      <c r="AT12" s="222" t="s">
        <v>294</v>
      </c>
      <c r="AU12" s="222" t="s">
        <v>88</v>
      </c>
      <c r="AV12" s="234" t="s">
        <v>295</v>
      </c>
    </row>
    <row r="13" spans="1:48" ht="16.5" customHeight="1">
      <c r="A13" s="1915" t="s">
        <v>9</v>
      </c>
      <c r="B13" s="83" t="s">
        <v>134</v>
      </c>
      <c r="C13" s="113" t="s">
        <v>296</v>
      </c>
      <c r="D13" s="114"/>
      <c r="G13" s="86" t="s">
        <v>160</v>
      </c>
      <c r="H13" s="87" t="s">
        <v>89</v>
      </c>
      <c r="I13" s="119" t="s">
        <v>5</v>
      </c>
      <c r="J13" s="69">
        <v>2021</v>
      </c>
      <c r="K13" s="74">
        <v>2013</v>
      </c>
      <c r="L13" s="69">
        <v>12</v>
      </c>
      <c r="M13" s="69">
        <v>12</v>
      </c>
      <c r="N13" s="75"/>
      <c r="O13" s="71"/>
      <c r="P13" s="71"/>
      <c r="Q13" s="69"/>
      <c r="R13" s="69"/>
    </row>
    <row r="14" spans="1:48" ht="16.5" customHeight="1">
      <c r="A14" s="1916"/>
      <c r="B14" s="88" t="s">
        <v>0</v>
      </c>
      <c r="C14" s="89" t="s">
        <v>297</v>
      </c>
      <c r="D14" s="114"/>
      <c r="G14" s="90" t="s">
        <v>161</v>
      </c>
      <c r="H14" s="91" t="s">
        <v>5</v>
      </c>
      <c r="I14" s="122" t="s">
        <v>89</v>
      </c>
      <c r="J14" s="69">
        <v>2022</v>
      </c>
      <c r="K14" s="74">
        <v>2012</v>
      </c>
      <c r="L14" s="69"/>
      <c r="M14" s="69">
        <v>13</v>
      </c>
      <c r="N14" s="75"/>
      <c r="O14" s="1993" t="s">
        <v>298</v>
      </c>
      <c r="P14" s="1994"/>
      <c r="Q14" s="1994"/>
      <c r="R14" s="1995"/>
      <c r="S14" s="1996" t="s">
        <v>299</v>
      </c>
      <c r="T14" s="1997"/>
      <c r="U14" s="1998"/>
      <c r="V14" s="1999" t="s">
        <v>300</v>
      </c>
      <c r="W14" s="2000"/>
      <c r="X14" s="2000"/>
      <c r="Y14" s="2000"/>
      <c r="Z14" s="2000"/>
      <c r="AH14" s="69">
        <v>1</v>
      </c>
      <c r="AI14" s="69" t="s">
        <v>202</v>
      </c>
      <c r="AJ14" s="69" t="s">
        <v>301</v>
      </c>
    </row>
    <row r="15" spans="1:48" ht="16.5" customHeight="1">
      <c r="A15" s="1916"/>
      <c r="B15" s="92" t="s">
        <v>140</v>
      </c>
      <c r="C15" s="93" t="s">
        <v>302</v>
      </c>
      <c r="D15" s="114"/>
      <c r="G15" s="94" t="s">
        <v>193</v>
      </c>
      <c r="H15" s="91" t="s">
        <v>89</v>
      </c>
      <c r="I15" s="122" t="s">
        <v>5</v>
      </c>
      <c r="J15" s="69">
        <v>2023</v>
      </c>
      <c r="K15" s="74">
        <v>2011</v>
      </c>
      <c r="L15" s="69"/>
      <c r="M15" s="69">
        <v>14</v>
      </c>
      <c r="N15" s="75"/>
      <c r="O15" s="193" t="str">
        <f>$O$8</f>
        <v>Việt Nam</v>
      </c>
      <c r="P15" s="185" t="s">
        <v>303</v>
      </c>
      <c r="Q15" s="220" t="s">
        <v>304</v>
      </c>
      <c r="R15" s="223" t="s">
        <v>305</v>
      </c>
      <c r="S15" s="224" t="str">
        <f>$O$8</f>
        <v>Việt Nam</v>
      </c>
      <c r="T15" s="225" t="s">
        <v>306</v>
      </c>
      <c r="U15" s="226" t="s">
        <v>307</v>
      </c>
      <c r="V15" s="227" t="str">
        <f>$O$8</f>
        <v>Việt Nam</v>
      </c>
      <c r="W15" s="228" t="s">
        <v>308</v>
      </c>
      <c r="X15" s="229"/>
      <c r="Y15" s="226" t="s">
        <v>309</v>
      </c>
      <c r="AH15" s="69">
        <v>2</v>
      </c>
      <c r="AI15" s="69" t="s">
        <v>310</v>
      </c>
      <c r="AJ15" s="69" t="s">
        <v>311</v>
      </c>
    </row>
    <row r="16" spans="1:48" ht="16.5" customHeight="1">
      <c r="A16" s="1916"/>
      <c r="B16" s="95" t="s">
        <v>143</v>
      </c>
      <c r="C16" s="105" t="s">
        <v>312</v>
      </c>
      <c r="D16" s="114"/>
      <c r="G16" s="94" t="s">
        <v>194</v>
      </c>
      <c r="H16" s="91" t="s">
        <v>5</v>
      </c>
      <c r="I16" s="122" t="s">
        <v>89</v>
      </c>
      <c r="J16" s="69">
        <v>2024</v>
      </c>
      <c r="K16" s="74">
        <v>2010</v>
      </c>
      <c r="L16" s="69"/>
      <c r="M16" s="69">
        <v>15</v>
      </c>
      <c r="N16" s="75"/>
      <c r="O16" s="194" t="str">
        <f>$O$9</f>
        <v>中国</v>
      </c>
      <c r="P16" s="187" t="s">
        <v>313</v>
      </c>
      <c r="Q16" s="220" t="s">
        <v>314</v>
      </c>
      <c r="R16" s="223" t="s">
        <v>315</v>
      </c>
      <c r="S16" s="230" t="str">
        <f>$O$9</f>
        <v>中国</v>
      </c>
      <c r="T16" s="231" t="s">
        <v>316</v>
      </c>
      <c r="U16" s="223" t="s">
        <v>23</v>
      </c>
      <c r="V16" s="232" t="str">
        <f>$O$9</f>
        <v>中国</v>
      </c>
      <c r="W16" s="233" t="s">
        <v>317</v>
      </c>
      <c r="X16" s="220" t="s">
        <v>318</v>
      </c>
      <c r="Y16" s="223" t="s">
        <v>319</v>
      </c>
    </row>
    <row r="17" spans="1:36" ht="16.5" customHeight="1">
      <c r="A17" s="1917"/>
      <c r="B17" s="97" t="s">
        <v>146</v>
      </c>
      <c r="C17" s="115" t="s">
        <v>320</v>
      </c>
      <c r="D17" s="116"/>
      <c r="G17" s="100" t="s">
        <v>223</v>
      </c>
      <c r="H17" s="91" t="s">
        <v>89</v>
      </c>
      <c r="I17" s="122" t="s">
        <v>5</v>
      </c>
      <c r="J17" s="69">
        <v>2025</v>
      </c>
      <c r="K17" s="74">
        <v>2009</v>
      </c>
      <c r="L17" s="69"/>
      <c r="M17" s="69">
        <v>16</v>
      </c>
      <c r="N17" s="75"/>
      <c r="O17" s="195" t="str">
        <f>$O$10</f>
        <v>English</v>
      </c>
      <c r="P17" s="187" t="s">
        <v>321</v>
      </c>
      <c r="Q17" s="220" t="s">
        <v>322</v>
      </c>
      <c r="R17" s="223" t="s">
        <v>323</v>
      </c>
      <c r="S17" s="230" t="str">
        <f>$O$10</f>
        <v>English</v>
      </c>
      <c r="T17" s="231" t="s">
        <v>324</v>
      </c>
      <c r="U17" s="223" t="s">
        <v>325</v>
      </c>
      <c r="V17" s="232" t="str">
        <f>$O$10</f>
        <v>English</v>
      </c>
      <c r="W17" s="233" t="s">
        <v>326</v>
      </c>
      <c r="X17" s="220" t="s">
        <v>327</v>
      </c>
      <c r="Y17" s="223" t="s">
        <v>328</v>
      </c>
      <c r="Z17" s="69" t="s">
        <v>329</v>
      </c>
    </row>
    <row r="18" spans="1:36" ht="16.5" customHeight="1">
      <c r="A18" s="1918" t="s">
        <v>330</v>
      </c>
      <c r="B18" s="101" t="s">
        <v>134</v>
      </c>
      <c r="C18" s="102" t="s">
        <v>331</v>
      </c>
      <c r="D18" s="116"/>
      <c r="G18" s="100" t="s">
        <v>224</v>
      </c>
      <c r="H18" s="91" t="s">
        <v>5</v>
      </c>
      <c r="I18" s="122" t="s">
        <v>89</v>
      </c>
      <c r="J18" s="69">
        <v>2026</v>
      </c>
      <c r="K18" s="74">
        <v>2008</v>
      </c>
      <c r="L18" s="69"/>
      <c r="M18" s="69">
        <v>17</v>
      </c>
      <c r="N18" s="75"/>
      <c r="O18" s="196" t="str">
        <f>$O$11</f>
        <v>한국어</v>
      </c>
      <c r="P18" s="187" t="s">
        <v>332</v>
      </c>
      <c r="Q18" s="220" t="s">
        <v>333</v>
      </c>
      <c r="R18" s="223" t="s">
        <v>334</v>
      </c>
      <c r="S18" s="230" t="str">
        <f>$O$11</f>
        <v>한국어</v>
      </c>
      <c r="T18" s="231" t="s">
        <v>335</v>
      </c>
      <c r="U18" s="223" t="s">
        <v>336</v>
      </c>
      <c r="V18" s="232" t="str">
        <f>$O$11</f>
        <v>한국어</v>
      </c>
      <c r="W18" s="233" t="s">
        <v>337</v>
      </c>
      <c r="X18" s="220" t="s">
        <v>338</v>
      </c>
      <c r="Y18" s="223" t="s">
        <v>339</v>
      </c>
    </row>
    <row r="19" spans="1:36" ht="16.5" customHeight="1">
      <c r="A19" s="1916"/>
      <c r="B19" s="88" t="s">
        <v>0</v>
      </c>
      <c r="C19" s="89" t="s">
        <v>340</v>
      </c>
      <c r="D19" s="116"/>
      <c r="G19" s="103" t="s">
        <v>255</v>
      </c>
      <c r="H19" s="91" t="s">
        <v>89</v>
      </c>
      <c r="I19" s="122" t="s">
        <v>5</v>
      </c>
      <c r="J19" s="69">
        <v>2027</v>
      </c>
      <c r="K19" s="74">
        <v>2007</v>
      </c>
      <c r="L19" s="69"/>
      <c r="M19" s="69">
        <v>18</v>
      </c>
      <c r="N19" s="75"/>
      <c r="O19" s="197" t="str">
        <f>$O$12</f>
        <v>日本語</v>
      </c>
      <c r="P19" s="192" t="s">
        <v>341</v>
      </c>
      <c r="Q19" s="222" t="s">
        <v>314</v>
      </c>
      <c r="R19" s="234" t="s">
        <v>315</v>
      </c>
      <c r="S19" s="235" t="str">
        <f>$O$12</f>
        <v>日本語</v>
      </c>
      <c r="T19" s="236" t="s">
        <v>342</v>
      </c>
      <c r="U19" s="234" t="s">
        <v>95</v>
      </c>
      <c r="V19" s="235" t="str">
        <f>$O$12</f>
        <v>日本語</v>
      </c>
      <c r="W19" s="236" t="s">
        <v>87</v>
      </c>
      <c r="X19" s="222" t="s">
        <v>343</v>
      </c>
      <c r="Y19" s="234" t="s">
        <v>77</v>
      </c>
    </row>
    <row r="20" spans="1:36" ht="16.5" customHeight="1">
      <c r="A20" s="1916"/>
      <c r="B20" s="92" t="s">
        <v>140</v>
      </c>
      <c r="C20" s="93" t="s">
        <v>344</v>
      </c>
      <c r="D20" s="110"/>
      <c r="G20" s="103" t="s">
        <v>256</v>
      </c>
      <c r="H20" s="91" t="s">
        <v>5</v>
      </c>
      <c r="I20" s="122" t="s">
        <v>89</v>
      </c>
      <c r="J20" s="69">
        <v>2028</v>
      </c>
      <c r="K20" s="74">
        <v>2006</v>
      </c>
      <c r="L20" s="69"/>
      <c r="M20" s="69">
        <v>19</v>
      </c>
      <c r="N20" s="75"/>
      <c r="O20" s="71"/>
      <c r="P20" s="71"/>
      <c r="Q20" s="69"/>
      <c r="R20" s="69"/>
    </row>
    <row r="21" spans="1:36" ht="16.5" customHeight="1">
      <c r="A21" s="1916"/>
      <c r="B21" s="95" t="s">
        <v>143</v>
      </c>
      <c r="C21" s="105" t="s">
        <v>345</v>
      </c>
      <c r="D21" s="116"/>
      <c r="G21" s="107" t="s">
        <v>283</v>
      </c>
      <c r="H21" s="91" t="s">
        <v>89</v>
      </c>
      <c r="I21" s="122" t="s">
        <v>5</v>
      </c>
      <c r="J21" s="69">
        <v>2029</v>
      </c>
      <c r="K21" s="74">
        <v>2005</v>
      </c>
      <c r="L21" s="69"/>
      <c r="M21" s="69">
        <v>20</v>
      </c>
      <c r="N21" s="75"/>
      <c r="O21" s="2001" t="s">
        <v>346</v>
      </c>
      <c r="P21" s="2002"/>
      <c r="Q21" s="2002"/>
      <c r="R21" s="2002"/>
      <c r="S21" s="2002"/>
      <c r="T21" s="2002"/>
      <c r="U21" s="2002"/>
      <c r="V21" s="2002"/>
      <c r="W21" s="2002"/>
      <c r="X21" s="2002"/>
      <c r="Y21" s="2002"/>
      <c r="Z21" s="2002"/>
      <c r="AA21" s="2002"/>
      <c r="AB21" s="2002"/>
      <c r="AC21" s="2002"/>
      <c r="AD21" s="2002"/>
      <c r="AE21" s="2002"/>
      <c r="AF21" s="2002"/>
      <c r="AG21" s="2002"/>
      <c r="AH21" s="2002"/>
      <c r="AI21" s="2002"/>
      <c r="AJ21" s="2003"/>
    </row>
    <row r="22" spans="1:36" ht="16.5" customHeight="1">
      <c r="A22" s="1919"/>
      <c r="B22" s="108" t="s">
        <v>146</v>
      </c>
      <c r="C22" s="109" t="s">
        <v>347</v>
      </c>
      <c r="D22" s="116"/>
      <c r="G22" s="111" t="s">
        <v>284</v>
      </c>
      <c r="H22" s="112" t="s">
        <v>5</v>
      </c>
      <c r="I22" s="137" t="s">
        <v>89</v>
      </c>
      <c r="J22" s="69">
        <v>2030</v>
      </c>
      <c r="K22" s="74">
        <v>2004</v>
      </c>
      <c r="L22" s="69"/>
      <c r="M22" s="69">
        <v>21</v>
      </c>
      <c r="N22" s="75"/>
      <c r="O22" s="193" t="str">
        <f>$O$8</f>
        <v>Việt Nam</v>
      </c>
      <c r="P22" s="185" t="s">
        <v>348</v>
      </c>
      <c r="Q22" s="219" t="s">
        <v>349</v>
      </c>
      <c r="R22" s="219" t="s">
        <v>350</v>
      </c>
      <c r="S22" s="219" t="s">
        <v>351</v>
      </c>
      <c r="T22" s="219" t="s">
        <v>352</v>
      </c>
      <c r="U22" s="219" t="s">
        <v>353</v>
      </c>
      <c r="V22" s="219" t="s">
        <v>354</v>
      </c>
      <c r="W22" s="219" t="s">
        <v>355</v>
      </c>
      <c r="X22" s="219"/>
      <c r="Y22" s="219" t="s">
        <v>356</v>
      </c>
      <c r="Z22" s="219" t="s">
        <v>357</v>
      </c>
      <c r="AA22" s="219" t="s">
        <v>358</v>
      </c>
      <c r="AB22" s="219" t="s">
        <v>359</v>
      </c>
      <c r="AC22" s="219" t="s">
        <v>360</v>
      </c>
      <c r="AD22" s="219" t="s">
        <v>361</v>
      </c>
      <c r="AE22" s="219" t="s">
        <v>362</v>
      </c>
      <c r="AF22" s="219" t="s">
        <v>363</v>
      </c>
      <c r="AG22" s="219" t="s">
        <v>364</v>
      </c>
      <c r="AH22" s="219" t="s">
        <v>365</v>
      </c>
      <c r="AI22" s="141" t="s">
        <v>366</v>
      </c>
      <c r="AJ22" s="226"/>
    </row>
    <row r="23" spans="1:36" ht="16.5" customHeight="1">
      <c r="A23" s="1915" t="s">
        <v>367</v>
      </c>
      <c r="B23" s="83" t="s">
        <v>134</v>
      </c>
      <c r="C23" s="113" t="s">
        <v>368</v>
      </c>
      <c r="D23" s="116"/>
      <c r="E23" s="2015" t="s">
        <v>369</v>
      </c>
      <c r="F23" s="117" t="s">
        <v>360</v>
      </c>
      <c r="G23" s="118" t="s">
        <v>89</v>
      </c>
      <c r="H23" s="119" t="s">
        <v>5</v>
      </c>
      <c r="J23" s="69">
        <v>2031</v>
      </c>
      <c r="K23" s="74">
        <v>2003</v>
      </c>
      <c r="L23" s="69"/>
      <c r="M23" s="69">
        <v>22</v>
      </c>
      <c r="N23" s="75"/>
      <c r="O23" s="194" t="str">
        <f>$O$9</f>
        <v>中国</v>
      </c>
      <c r="P23" s="187" t="s">
        <v>370</v>
      </c>
      <c r="Q23" s="220" t="s">
        <v>371</v>
      </c>
      <c r="R23" s="220" t="s">
        <v>372</v>
      </c>
      <c r="S23" s="220" t="s">
        <v>373</v>
      </c>
      <c r="T23" s="220" t="s">
        <v>374</v>
      </c>
      <c r="U23" s="220" t="s">
        <v>375</v>
      </c>
      <c r="V23" s="220" t="s">
        <v>376</v>
      </c>
      <c r="W23" s="220" t="s">
        <v>377</v>
      </c>
      <c r="X23" s="220" t="s">
        <v>196</v>
      </c>
      <c r="Y23" s="220" t="s">
        <v>378</v>
      </c>
      <c r="Z23" s="220" t="s">
        <v>379</v>
      </c>
      <c r="AA23" s="220" t="s">
        <v>380</v>
      </c>
      <c r="AB23" s="220" t="s">
        <v>59</v>
      </c>
      <c r="AC23" s="220" t="s">
        <v>57</v>
      </c>
      <c r="AD23" s="220" t="s">
        <v>381</v>
      </c>
      <c r="AE23" s="220" t="s">
        <v>382</v>
      </c>
      <c r="AF23" s="220" t="s">
        <v>383</v>
      </c>
      <c r="AG23" s="220" t="s">
        <v>384</v>
      </c>
      <c r="AH23" s="220" t="s">
        <v>385</v>
      </c>
      <c r="AI23" s="149" t="s">
        <v>386</v>
      </c>
      <c r="AJ23" s="223"/>
    </row>
    <row r="24" spans="1:36" ht="16.5" customHeight="1">
      <c r="A24" s="1916"/>
      <c r="B24" s="88" t="s">
        <v>0</v>
      </c>
      <c r="C24" s="89" t="s">
        <v>387</v>
      </c>
      <c r="D24" s="116"/>
      <c r="E24" s="2016"/>
      <c r="F24" s="120" t="s">
        <v>361</v>
      </c>
      <c r="G24" s="121" t="s">
        <v>5</v>
      </c>
      <c r="H24" s="122" t="s">
        <v>89</v>
      </c>
      <c r="J24" s="69">
        <v>2032</v>
      </c>
      <c r="K24" s="74">
        <v>2002</v>
      </c>
      <c r="L24" s="69"/>
      <c r="M24" s="69">
        <v>23</v>
      </c>
      <c r="N24" s="75"/>
      <c r="O24" s="195" t="str">
        <f>$O$10</f>
        <v>English</v>
      </c>
      <c r="P24" s="187" t="s">
        <v>388</v>
      </c>
      <c r="Q24" s="220" t="s">
        <v>389</v>
      </c>
      <c r="R24" s="220" t="s">
        <v>390</v>
      </c>
      <c r="S24" s="220" t="s">
        <v>391</v>
      </c>
      <c r="T24" s="220" t="s">
        <v>392</v>
      </c>
      <c r="U24" s="220" t="s">
        <v>393</v>
      </c>
      <c r="V24" s="220" t="s">
        <v>394</v>
      </c>
      <c r="W24" s="220" t="s">
        <v>395</v>
      </c>
      <c r="X24" s="220" t="s">
        <v>396</v>
      </c>
      <c r="Y24" s="220" t="s">
        <v>397</v>
      </c>
      <c r="Z24" s="220" t="s">
        <v>398</v>
      </c>
      <c r="AA24" s="220" t="s">
        <v>399</v>
      </c>
      <c r="AB24" s="220" t="s">
        <v>400</v>
      </c>
      <c r="AC24" s="220" t="s">
        <v>401</v>
      </c>
      <c r="AD24" s="220" t="s">
        <v>402</v>
      </c>
      <c r="AE24" s="220" t="s">
        <v>403</v>
      </c>
      <c r="AF24" s="220" t="s">
        <v>404</v>
      </c>
      <c r="AG24" s="220" t="s">
        <v>405</v>
      </c>
      <c r="AH24" s="220" t="s">
        <v>406</v>
      </c>
      <c r="AI24" s="149" t="s">
        <v>407</v>
      </c>
      <c r="AJ24" s="223"/>
    </row>
    <row r="25" spans="1:36" ht="16.5" customHeight="1">
      <c r="A25" s="1916"/>
      <c r="B25" s="92" t="s">
        <v>140</v>
      </c>
      <c r="C25" s="93" t="s">
        <v>408</v>
      </c>
      <c r="D25" s="116"/>
      <c r="E25" s="2017"/>
      <c r="F25" s="123" t="s">
        <v>359</v>
      </c>
      <c r="G25" s="124" t="s">
        <v>89</v>
      </c>
      <c r="H25" s="125" t="s">
        <v>5</v>
      </c>
      <c r="J25" s="69">
        <v>2033</v>
      </c>
      <c r="K25" s="74">
        <v>2001</v>
      </c>
      <c r="L25" s="69"/>
      <c r="M25" s="69">
        <v>24</v>
      </c>
      <c r="N25" s="75"/>
      <c r="O25" s="196" t="str">
        <f>$O$11</f>
        <v>한국어</v>
      </c>
      <c r="P25" s="187" t="s">
        <v>409</v>
      </c>
      <c r="Q25" s="220" t="s">
        <v>410</v>
      </c>
      <c r="R25" s="220" t="s">
        <v>411</v>
      </c>
      <c r="S25" s="220" t="s">
        <v>412</v>
      </c>
      <c r="T25" s="220" t="s">
        <v>265</v>
      </c>
      <c r="U25" s="220" t="s">
        <v>413</v>
      </c>
      <c r="V25" s="220" t="s">
        <v>414</v>
      </c>
      <c r="W25" s="220" t="s">
        <v>415</v>
      </c>
      <c r="X25" s="220" t="s">
        <v>416</v>
      </c>
      <c r="Y25" s="220" t="s">
        <v>417</v>
      </c>
      <c r="Z25" s="220" t="s">
        <v>418</v>
      </c>
      <c r="AA25" s="220" t="s">
        <v>419</v>
      </c>
      <c r="AB25" s="220" t="s">
        <v>420</v>
      </c>
      <c r="AC25" s="220" t="s">
        <v>421</v>
      </c>
      <c r="AD25" s="220" t="s">
        <v>422</v>
      </c>
      <c r="AE25" s="220" t="s">
        <v>423</v>
      </c>
      <c r="AF25" s="220" t="s">
        <v>424</v>
      </c>
      <c r="AG25" s="220" t="s">
        <v>425</v>
      </c>
      <c r="AH25" s="220" t="s">
        <v>426</v>
      </c>
      <c r="AI25" s="149" t="s">
        <v>427</v>
      </c>
      <c r="AJ25" s="223"/>
    </row>
    <row r="26" spans="1:36" ht="16.5" customHeight="1">
      <c r="A26" s="1916"/>
      <c r="B26" s="95" t="s">
        <v>143</v>
      </c>
      <c r="C26" s="105" t="s">
        <v>428</v>
      </c>
      <c r="D26" s="126"/>
      <c r="E26" s="2018" t="s">
        <v>429</v>
      </c>
      <c r="F26" s="127" t="s">
        <v>57</v>
      </c>
      <c r="G26" s="128" t="s">
        <v>5</v>
      </c>
      <c r="H26" s="129" t="s">
        <v>89</v>
      </c>
      <c r="J26" s="69">
        <v>2034</v>
      </c>
      <c r="K26" s="74">
        <v>2000</v>
      </c>
      <c r="L26" s="69"/>
      <c r="M26" s="69">
        <v>25</v>
      </c>
      <c r="N26" s="75"/>
      <c r="O26" s="197" t="str">
        <f>$O$12</f>
        <v>日本語</v>
      </c>
      <c r="P26" s="198" t="s">
        <v>430</v>
      </c>
      <c r="Q26" s="237" t="s">
        <v>431</v>
      </c>
      <c r="R26" s="237" t="s">
        <v>372</v>
      </c>
      <c r="S26" s="237" t="s">
        <v>432</v>
      </c>
      <c r="T26" s="237" t="s">
        <v>374</v>
      </c>
      <c r="U26" s="237" t="s">
        <v>433</v>
      </c>
      <c r="V26" s="237" t="s">
        <v>434</v>
      </c>
      <c r="W26" s="237" t="s">
        <v>435</v>
      </c>
      <c r="X26" s="237" t="s">
        <v>196</v>
      </c>
      <c r="Y26" s="237" t="s">
        <v>84</v>
      </c>
      <c r="Z26" s="237" t="s">
        <v>55</v>
      </c>
      <c r="AA26" s="237" t="s">
        <v>436</v>
      </c>
      <c r="AB26" s="239"/>
      <c r="AC26" s="239"/>
      <c r="AD26" s="239"/>
      <c r="AE26" s="239"/>
      <c r="AF26" s="239"/>
      <c r="AG26" s="239"/>
      <c r="AH26" s="239"/>
      <c r="AI26" s="241"/>
      <c r="AJ26" s="238"/>
    </row>
    <row r="27" spans="1:36" ht="16.5" customHeight="1">
      <c r="A27" s="1917"/>
      <c r="B27" s="97" t="s">
        <v>146</v>
      </c>
      <c r="C27" s="115" t="s">
        <v>437</v>
      </c>
      <c r="D27" s="130"/>
      <c r="E27" s="2019"/>
      <c r="F27" s="120" t="s">
        <v>381</v>
      </c>
      <c r="G27" s="121" t="s">
        <v>89</v>
      </c>
      <c r="H27" s="122" t="s">
        <v>5</v>
      </c>
      <c r="J27" s="69">
        <v>2035</v>
      </c>
      <c r="K27" s="74">
        <v>1999</v>
      </c>
      <c r="L27" s="69"/>
      <c r="M27" s="69">
        <v>26</v>
      </c>
      <c r="N27" s="75"/>
      <c r="O27" s="71"/>
      <c r="P27" s="71"/>
      <c r="Q27" s="69"/>
      <c r="R27" s="69"/>
    </row>
    <row r="28" spans="1:36" ht="16.5" customHeight="1">
      <c r="A28" s="1918" t="s">
        <v>11</v>
      </c>
      <c r="B28" s="101" t="s">
        <v>134</v>
      </c>
      <c r="C28" s="102" t="s">
        <v>438</v>
      </c>
      <c r="D28" s="130"/>
      <c r="E28" s="2020"/>
      <c r="F28" s="123" t="s">
        <v>59</v>
      </c>
      <c r="G28" s="124" t="s">
        <v>5</v>
      </c>
      <c r="H28" s="125" t="s">
        <v>89</v>
      </c>
      <c r="J28" s="69">
        <v>2036</v>
      </c>
      <c r="K28" s="74">
        <v>1998</v>
      </c>
      <c r="L28" s="69"/>
      <c r="M28" s="69">
        <v>27</v>
      </c>
      <c r="N28" s="75"/>
      <c r="O28" s="2004" t="s">
        <v>439</v>
      </c>
      <c r="P28" s="2005"/>
      <c r="Q28" s="2005"/>
      <c r="R28" s="2005"/>
      <c r="S28" s="2005"/>
      <c r="T28" s="2005"/>
      <c r="U28" s="2006"/>
    </row>
    <row r="29" spans="1:36" ht="16.5" customHeight="1">
      <c r="A29" s="1916"/>
      <c r="B29" s="88" t="s">
        <v>0</v>
      </c>
      <c r="C29" s="89" t="s">
        <v>440</v>
      </c>
      <c r="D29" s="130"/>
      <c r="E29" s="2021" t="s">
        <v>441</v>
      </c>
      <c r="F29" s="127" t="s">
        <v>401</v>
      </c>
      <c r="G29" s="128" t="s">
        <v>89</v>
      </c>
      <c r="H29" s="129" t="s">
        <v>5</v>
      </c>
      <c r="J29" s="69">
        <v>2037</v>
      </c>
      <c r="K29" s="74">
        <v>1997</v>
      </c>
      <c r="L29" s="69"/>
      <c r="M29" s="69">
        <v>28</v>
      </c>
      <c r="N29" s="75"/>
      <c r="O29" s="193" t="str">
        <f>$O$8</f>
        <v>Việt Nam</v>
      </c>
      <c r="P29" s="199" t="s">
        <v>442</v>
      </c>
      <c r="Q29" s="229" t="s">
        <v>443</v>
      </c>
      <c r="R29" s="229" t="s">
        <v>444</v>
      </c>
      <c r="S29" s="229" t="s">
        <v>445</v>
      </c>
      <c r="T29" s="229" t="s">
        <v>446</v>
      </c>
      <c r="U29" s="226" t="s">
        <v>447</v>
      </c>
    </row>
    <row r="30" spans="1:36" ht="16.5" customHeight="1">
      <c r="A30" s="1916"/>
      <c r="B30" s="92" t="s">
        <v>140</v>
      </c>
      <c r="C30" s="93" t="s">
        <v>448</v>
      </c>
      <c r="D30" s="130"/>
      <c r="E30" s="2022"/>
      <c r="F30" s="120" t="s">
        <v>402</v>
      </c>
      <c r="G30" s="121" t="s">
        <v>5</v>
      </c>
      <c r="H30" s="122" t="s">
        <v>89</v>
      </c>
      <c r="J30" s="69">
        <v>2038</v>
      </c>
      <c r="K30" s="74">
        <v>1996</v>
      </c>
      <c r="L30" s="69"/>
      <c r="M30" s="69">
        <v>29</v>
      </c>
      <c r="N30" s="75"/>
      <c r="O30" s="194" t="str">
        <f>$O$9</f>
        <v>中国</v>
      </c>
      <c r="P30" s="200" t="s">
        <v>449</v>
      </c>
      <c r="Q30" s="220" t="s">
        <v>450</v>
      </c>
      <c r="R30" s="220" t="s">
        <v>451</v>
      </c>
      <c r="S30" s="220" t="s">
        <v>374</v>
      </c>
      <c r="T30" s="220" t="s">
        <v>452</v>
      </c>
      <c r="U30" s="223" t="s">
        <v>453</v>
      </c>
    </row>
    <row r="31" spans="1:36" ht="16.5" customHeight="1">
      <c r="A31" s="1916"/>
      <c r="B31" s="95" t="s">
        <v>143</v>
      </c>
      <c r="C31" s="105" t="s">
        <v>454</v>
      </c>
      <c r="D31" s="130"/>
      <c r="E31" s="2023"/>
      <c r="F31" s="123" t="s">
        <v>400</v>
      </c>
      <c r="G31" s="124" t="s">
        <v>89</v>
      </c>
      <c r="H31" s="125" t="s">
        <v>5</v>
      </c>
      <c r="J31" s="69">
        <v>2039</v>
      </c>
      <c r="K31" s="74">
        <v>1995</v>
      </c>
      <c r="L31" s="69"/>
      <c r="M31" s="69">
        <v>30</v>
      </c>
      <c r="N31" s="75"/>
      <c r="O31" s="195" t="str">
        <f>$O$10</f>
        <v>English</v>
      </c>
      <c r="P31" s="200" t="s">
        <v>455</v>
      </c>
      <c r="Q31" s="220" t="s">
        <v>456</v>
      </c>
      <c r="R31" s="220" t="s">
        <v>457</v>
      </c>
      <c r="S31" s="220" t="s">
        <v>458</v>
      </c>
      <c r="T31" s="220" t="s">
        <v>459</v>
      </c>
      <c r="U31" s="223" t="s">
        <v>460</v>
      </c>
    </row>
    <row r="32" spans="1:36" ht="16.5" customHeight="1">
      <c r="A32" s="1919"/>
      <c r="B32" s="108" t="s">
        <v>146</v>
      </c>
      <c r="C32" s="109" t="s">
        <v>461</v>
      </c>
      <c r="D32" s="130"/>
      <c r="E32" s="2024" t="s">
        <v>462</v>
      </c>
      <c r="F32" s="127" t="s">
        <v>421</v>
      </c>
      <c r="G32" s="128" t="s">
        <v>5</v>
      </c>
      <c r="H32" s="129" t="s">
        <v>89</v>
      </c>
      <c r="J32" s="69">
        <v>2040</v>
      </c>
      <c r="K32" s="74">
        <v>1994</v>
      </c>
      <c r="L32" s="69"/>
      <c r="M32" s="69">
        <v>31</v>
      </c>
      <c r="N32" s="75"/>
      <c r="O32" s="196" t="str">
        <f>$O$11</f>
        <v>한국어</v>
      </c>
      <c r="P32" s="200" t="s">
        <v>463</v>
      </c>
      <c r="Q32" s="220" t="s">
        <v>464</v>
      </c>
      <c r="R32" s="220" t="s">
        <v>465</v>
      </c>
      <c r="S32" s="220" t="s">
        <v>466</v>
      </c>
      <c r="T32" s="220" t="s">
        <v>467</v>
      </c>
      <c r="U32" s="223" t="s">
        <v>468</v>
      </c>
    </row>
    <row r="33" spans="1:26" ht="16.5" customHeight="1">
      <c r="A33" s="1915" t="s">
        <v>12</v>
      </c>
      <c r="B33" s="83" t="s">
        <v>134</v>
      </c>
      <c r="C33" s="113" t="s">
        <v>469</v>
      </c>
      <c r="D33" s="130"/>
      <c r="E33" s="2025"/>
      <c r="F33" s="120" t="s">
        <v>422</v>
      </c>
      <c r="G33" s="121" t="s">
        <v>89</v>
      </c>
      <c r="H33" s="122" t="s">
        <v>5</v>
      </c>
      <c r="K33" s="74">
        <v>1993</v>
      </c>
      <c r="L33" s="69"/>
      <c r="M33" s="69"/>
      <c r="N33" s="75"/>
      <c r="O33" s="197" t="str">
        <f>$O$12</f>
        <v>日本語</v>
      </c>
      <c r="P33" s="201" t="s">
        <v>85</v>
      </c>
      <c r="Q33" s="237" t="s">
        <v>470</v>
      </c>
      <c r="R33" s="237" t="s">
        <v>471</v>
      </c>
      <c r="S33" s="237" t="s">
        <v>374</v>
      </c>
      <c r="T33" s="237" t="s">
        <v>472</v>
      </c>
      <c r="U33" s="238" t="s">
        <v>473</v>
      </c>
    </row>
    <row r="34" spans="1:26" ht="16.5" customHeight="1">
      <c r="A34" s="1916"/>
      <c r="B34" s="88" t="s">
        <v>0</v>
      </c>
      <c r="C34" s="89" t="s">
        <v>474</v>
      </c>
      <c r="D34" s="130"/>
      <c r="E34" s="2026"/>
      <c r="F34" s="123" t="s">
        <v>420</v>
      </c>
      <c r="G34" s="124" t="s">
        <v>5</v>
      </c>
      <c r="H34" s="125" t="s">
        <v>89</v>
      </c>
      <c r="K34" s="74">
        <v>1992</v>
      </c>
      <c r="L34" s="69"/>
      <c r="M34" s="69"/>
      <c r="N34" s="75"/>
      <c r="O34" s="71"/>
      <c r="P34" s="71"/>
      <c r="Q34" s="69"/>
      <c r="R34" s="69"/>
    </row>
    <row r="35" spans="1:26" ht="16.5" customHeight="1">
      <c r="A35" s="1916"/>
      <c r="B35" s="92" t="s">
        <v>140</v>
      </c>
      <c r="C35" s="93" t="s">
        <v>475</v>
      </c>
      <c r="E35" s="2027" t="s">
        <v>476</v>
      </c>
      <c r="F35" s="131" t="s">
        <v>57</v>
      </c>
      <c r="G35" s="132" t="s">
        <v>89</v>
      </c>
      <c r="H35" s="133" t="s">
        <v>5</v>
      </c>
      <c r="K35" s="74">
        <v>1991</v>
      </c>
      <c r="L35" s="69"/>
      <c r="M35" s="69"/>
      <c r="N35" s="75"/>
      <c r="O35" s="2007" t="s">
        <v>477</v>
      </c>
      <c r="P35" s="2008"/>
      <c r="Q35" s="2008"/>
      <c r="R35" s="2008"/>
      <c r="S35" s="2008"/>
      <c r="T35" s="2008"/>
      <c r="U35" s="2008"/>
      <c r="V35" s="2008"/>
      <c r="W35" s="2009"/>
    </row>
    <row r="36" spans="1:26" ht="16.5" customHeight="1">
      <c r="A36" s="1916"/>
      <c r="B36" s="95" t="s">
        <v>143</v>
      </c>
      <c r="C36" s="105" t="s">
        <v>478</v>
      </c>
      <c r="D36" s="134"/>
      <c r="E36" s="2027"/>
      <c r="F36" s="120" t="s">
        <v>58</v>
      </c>
      <c r="G36" s="121" t="s">
        <v>5</v>
      </c>
      <c r="H36" s="122" t="s">
        <v>89</v>
      </c>
      <c r="K36" s="74">
        <v>1990</v>
      </c>
      <c r="L36" s="69"/>
      <c r="M36" s="69"/>
      <c r="N36" s="75"/>
      <c r="O36" s="193" t="str">
        <f>$O$8</f>
        <v>Việt Nam</v>
      </c>
      <c r="P36" s="199" t="s">
        <v>479</v>
      </c>
      <c r="Q36" s="229" t="s">
        <v>480</v>
      </c>
      <c r="R36" s="229" t="s">
        <v>162</v>
      </c>
      <c r="S36" s="229" t="s">
        <v>481</v>
      </c>
      <c r="T36" s="229" t="s">
        <v>181</v>
      </c>
      <c r="U36" s="229" t="s">
        <v>482</v>
      </c>
      <c r="V36" s="229" t="s">
        <v>483</v>
      </c>
      <c r="W36" s="226" t="s">
        <v>484</v>
      </c>
    </row>
    <row r="37" spans="1:26" ht="16.5" customHeight="1">
      <c r="A37" s="1917"/>
      <c r="B37" s="97" t="s">
        <v>146</v>
      </c>
      <c r="C37" s="115" t="s">
        <v>485</v>
      </c>
      <c r="D37" s="134"/>
      <c r="E37" s="2028"/>
      <c r="F37" s="135" t="s">
        <v>59</v>
      </c>
      <c r="G37" s="136" t="s">
        <v>89</v>
      </c>
      <c r="H37" s="137" t="s">
        <v>5</v>
      </c>
      <c r="K37" s="74">
        <v>1989</v>
      </c>
      <c r="L37" s="69"/>
      <c r="M37" s="69"/>
      <c r="N37" s="75"/>
      <c r="O37" s="194" t="str">
        <f>$O$9</f>
        <v>中国</v>
      </c>
      <c r="P37" s="200" t="s">
        <v>486</v>
      </c>
      <c r="Q37" s="220" t="s">
        <v>487</v>
      </c>
      <c r="R37" s="220" t="s">
        <v>488</v>
      </c>
      <c r="S37" s="220" t="s">
        <v>489</v>
      </c>
      <c r="T37" s="220" t="s">
        <v>293</v>
      </c>
      <c r="U37" s="220" t="s">
        <v>490</v>
      </c>
      <c r="V37" s="220" t="s">
        <v>491</v>
      </c>
      <c r="W37" s="223" t="s">
        <v>492</v>
      </c>
    </row>
    <row r="38" spans="1:26" ht="16.5" customHeight="1" thickBot="1">
      <c r="A38" s="1915" t="s">
        <v>13</v>
      </c>
      <c r="B38" s="83" t="s">
        <v>134</v>
      </c>
      <c r="C38" s="113" t="s">
        <v>493</v>
      </c>
      <c r="D38" s="134"/>
      <c r="E38" s="138"/>
      <c r="F38" s="138"/>
      <c r="G38" s="138"/>
      <c r="K38" s="74">
        <v>1988</v>
      </c>
      <c r="L38" s="69"/>
      <c r="M38" s="69"/>
      <c r="N38" s="75"/>
      <c r="O38" s="195" t="str">
        <f>$O$10</f>
        <v>English</v>
      </c>
      <c r="P38" s="200" t="s">
        <v>494</v>
      </c>
      <c r="Q38" s="220" t="s">
        <v>495</v>
      </c>
      <c r="R38" s="220" t="s">
        <v>225</v>
      </c>
      <c r="S38" s="220" t="s">
        <v>325</v>
      </c>
      <c r="T38" s="220" t="s">
        <v>496</v>
      </c>
      <c r="U38" s="220" t="s">
        <v>497</v>
      </c>
      <c r="V38" s="220" t="s">
        <v>498</v>
      </c>
      <c r="W38" s="223" t="s">
        <v>499</v>
      </c>
    </row>
    <row r="39" spans="1:26" ht="16.5" customHeight="1">
      <c r="A39" s="1916"/>
      <c r="B39" s="88" t="s">
        <v>0</v>
      </c>
      <c r="C39" s="89" t="s">
        <v>500</v>
      </c>
      <c r="D39" s="134"/>
      <c r="K39" s="74">
        <v>1987</v>
      </c>
      <c r="L39" s="69"/>
      <c r="M39" s="69"/>
      <c r="N39" s="75"/>
      <c r="O39" s="196" t="str">
        <f>$O$11</f>
        <v>한국어</v>
      </c>
      <c r="P39" s="200" t="s">
        <v>502</v>
      </c>
      <c r="Q39" s="220" t="s">
        <v>503</v>
      </c>
      <c r="R39" s="220" t="s">
        <v>504</v>
      </c>
      <c r="S39" s="220" t="s">
        <v>505</v>
      </c>
      <c r="T39" s="220" t="s">
        <v>276</v>
      </c>
      <c r="U39" s="220" t="s">
        <v>506</v>
      </c>
      <c r="V39" s="220" t="s">
        <v>507</v>
      </c>
      <c r="W39" s="223" t="s">
        <v>508</v>
      </c>
    </row>
    <row r="40" spans="1:26" ht="16.5" customHeight="1" thickBot="1">
      <c r="A40" s="1916"/>
      <c r="B40" s="92" t="s">
        <v>140</v>
      </c>
      <c r="C40" s="93" t="s">
        <v>509</v>
      </c>
      <c r="D40" s="134"/>
      <c r="K40" s="74">
        <v>1986</v>
      </c>
      <c r="L40" s="69"/>
      <c r="M40" s="69"/>
      <c r="N40" s="75"/>
      <c r="O40" s="197" t="str">
        <f>$O$12</f>
        <v>日本語</v>
      </c>
      <c r="P40" s="201" t="s">
        <v>62</v>
      </c>
      <c r="Q40" s="237" t="s">
        <v>513</v>
      </c>
      <c r="R40" s="237" t="s">
        <v>514</v>
      </c>
      <c r="S40" s="237" t="s">
        <v>515</v>
      </c>
      <c r="T40" s="237" t="s">
        <v>293</v>
      </c>
      <c r="U40" s="237" t="s">
        <v>68</v>
      </c>
      <c r="V40" s="237" t="s">
        <v>72</v>
      </c>
      <c r="W40" s="238" t="s">
        <v>73</v>
      </c>
    </row>
    <row r="41" spans="1:26" ht="16.5" customHeight="1" thickBot="1">
      <c r="A41" s="1916"/>
      <c r="B41" s="95" t="s">
        <v>143</v>
      </c>
      <c r="C41" s="105" t="s">
        <v>516</v>
      </c>
      <c r="D41" s="134"/>
      <c r="K41" s="74">
        <v>1985</v>
      </c>
      <c r="L41" s="69"/>
      <c r="M41" s="69"/>
      <c r="N41" s="75"/>
      <c r="O41" s="71"/>
      <c r="P41" s="71"/>
      <c r="Q41" s="69"/>
      <c r="R41" s="69"/>
    </row>
    <row r="42" spans="1:26" ht="16.5" customHeight="1" thickBot="1">
      <c r="A42" s="1917"/>
      <c r="B42" s="97" t="s">
        <v>146</v>
      </c>
      <c r="C42" s="115" t="s">
        <v>518</v>
      </c>
      <c r="D42" s="134"/>
      <c r="K42" s="74">
        <v>1984</v>
      </c>
      <c r="L42" s="69"/>
      <c r="M42" s="69"/>
      <c r="N42" s="75"/>
      <c r="O42" s="1954" t="s">
        <v>519</v>
      </c>
      <c r="P42" s="1955"/>
      <c r="Q42" s="1955"/>
      <c r="R42" s="1955"/>
      <c r="S42" s="1955"/>
      <c r="T42" s="1955"/>
      <c r="U42" s="1955"/>
      <c r="V42" s="1955"/>
      <c r="W42" s="1955"/>
      <c r="X42" s="1955"/>
      <c r="Y42" s="1955"/>
      <c r="Z42" s="1956"/>
    </row>
    <row r="43" spans="1:26" ht="16.5" customHeight="1">
      <c r="A43" s="1918" t="s">
        <v>10</v>
      </c>
      <c r="B43" s="101" t="s">
        <v>134</v>
      </c>
      <c r="C43" s="102" t="s">
        <v>520</v>
      </c>
      <c r="D43" s="134"/>
      <c r="K43" s="74">
        <v>1983</v>
      </c>
      <c r="L43" s="69"/>
      <c r="M43" s="69"/>
      <c r="N43" s="75"/>
      <c r="O43" s="193" t="str">
        <f>$O$8</f>
        <v>Việt Nam</v>
      </c>
      <c r="P43" s="199" t="s">
        <v>521</v>
      </c>
      <c r="Q43" s="229" t="s">
        <v>522</v>
      </c>
      <c r="R43" s="229" t="s">
        <v>523</v>
      </c>
      <c r="S43" s="229" t="s">
        <v>524</v>
      </c>
      <c r="T43" s="229" t="s">
        <v>525</v>
      </c>
      <c r="U43" s="229" t="s">
        <v>526</v>
      </c>
      <c r="V43" s="229" t="s">
        <v>171</v>
      </c>
      <c r="W43" s="229" t="s">
        <v>527</v>
      </c>
      <c r="X43" s="229" t="s">
        <v>528</v>
      </c>
      <c r="Y43" s="229" t="s">
        <v>529</v>
      </c>
      <c r="Z43" s="226" t="s">
        <v>530</v>
      </c>
    </row>
    <row r="44" spans="1:26" ht="16.5" customHeight="1">
      <c r="A44" s="1916"/>
      <c r="B44" s="88" t="s">
        <v>0</v>
      </c>
      <c r="C44" s="89" t="s">
        <v>531</v>
      </c>
      <c r="D44" s="134"/>
      <c r="K44" s="74">
        <v>1982</v>
      </c>
      <c r="L44" s="69"/>
      <c r="M44" s="69"/>
      <c r="N44" s="75"/>
      <c r="O44" s="194" t="str">
        <f>$O$9</f>
        <v>中国</v>
      </c>
      <c r="P44" s="200" t="s">
        <v>532</v>
      </c>
      <c r="Q44" s="220" t="s">
        <v>533</v>
      </c>
      <c r="R44" s="220" t="s">
        <v>534</v>
      </c>
      <c r="S44" s="220" t="s">
        <v>535</v>
      </c>
      <c r="T44" s="220" t="s">
        <v>46</v>
      </c>
      <c r="U44" s="220" t="s">
        <v>536</v>
      </c>
      <c r="V44" s="220" t="s">
        <v>537</v>
      </c>
      <c r="W44" s="220" t="s">
        <v>538</v>
      </c>
      <c r="X44" s="220" t="s">
        <v>539</v>
      </c>
      <c r="Y44" s="220" t="s">
        <v>540</v>
      </c>
      <c r="Z44" s="223" t="s">
        <v>541</v>
      </c>
    </row>
    <row r="45" spans="1:26" ht="16.5" customHeight="1">
      <c r="A45" s="1916"/>
      <c r="B45" s="92" t="s">
        <v>140</v>
      </c>
      <c r="C45" s="93" t="s">
        <v>542</v>
      </c>
      <c r="D45" s="134"/>
      <c r="K45" s="74">
        <v>1981</v>
      </c>
      <c r="L45" s="69"/>
      <c r="M45" s="69"/>
      <c r="N45" s="75"/>
      <c r="O45" s="195" t="str">
        <f>$O$10</f>
        <v>English</v>
      </c>
      <c r="P45" s="200" t="s">
        <v>543</v>
      </c>
      <c r="Q45" s="220" t="s">
        <v>544</v>
      </c>
      <c r="R45" s="220" t="s">
        <v>545</v>
      </c>
      <c r="S45" s="220" t="s">
        <v>546</v>
      </c>
      <c r="T45" s="220" t="s">
        <v>547</v>
      </c>
      <c r="U45" s="220" t="s">
        <v>548</v>
      </c>
      <c r="V45" s="220" t="s">
        <v>549</v>
      </c>
      <c r="W45" s="220" t="s">
        <v>550</v>
      </c>
      <c r="X45" s="220" t="s">
        <v>551</v>
      </c>
      <c r="Y45" s="220" t="s">
        <v>552</v>
      </c>
      <c r="Z45" s="223" t="s">
        <v>553</v>
      </c>
    </row>
    <row r="46" spans="1:26" ht="16.5" customHeight="1">
      <c r="A46" s="1916"/>
      <c r="B46" s="95" t="s">
        <v>143</v>
      </c>
      <c r="C46" s="105" t="s">
        <v>554</v>
      </c>
      <c r="D46" s="134"/>
      <c r="K46" s="74">
        <v>1980</v>
      </c>
      <c r="L46" s="69"/>
      <c r="M46" s="69"/>
      <c r="N46" s="75"/>
      <c r="O46" s="196" t="str">
        <f>$O$11</f>
        <v>한국어</v>
      </c>
      <c r="P46" s="200" t="s">
        <v>555</v>
      </c>
      <c r="Q46" s="220" t="s">
        <v>556</v>
      </c>
      <c r="R46" s="220" t="s">
        <v>557</v>
      </c>
      <c r="S46" s="220" t="s">
        <v>558</v>
      </c>
      <c r="T46" s="220" t="s">
        <v>559</v>
      </c>
      <c r="U46" s="220" t="s">
        <v>560</v>
      </c>
      <c r="V46" s="220" t="s">
        <v>266</v>
      </c>
      <c r="W46" s="220" t="s">
        <v>561</v>
      </c>
      <c r="X46" s="220" t="s">
        <v>562</v>
      </c>
      <c r="Y46" s="220" t="s">
        <v>563</v>
      </c>
      <c r="Z46" s="223" t="s">
        <v>564</v>
      </c>
    </row>
    <row r="47" spans="1:26" ht="16.5" customHeight="1" thickBot="1">
      <c r="A47" s="1919"/>
      <c r="B47" s="108" t="s">
        <v>146</v>
      </c>
      <c r="C47" s="109" t="s">
        <v>565</v>
      </c>
      <c r="D47" s="134"/>
      <c r="K47" s="74">
        <v>1979</v>
      </c>
      <c r="L47" s="69"/>
      <c r="M47" s="69"/>
      <c r="N47" s="75"/>
      <c r="O47" s="197" t="str">
        <f>$O$12</f>
        <v>日本語</v>
      </c>
      <c r="P47" s="201" t="s">
        <v>42</v>
      </c>
      <c r="Q47" s="237" t="s">
        <v>568</v>
      </c>
      <c r="R47" s="237" t="s">
        <v>569</v>
      </c>
      <c r="S47" s="237" t="s">
        <v>44</v>
      </c>
      <c r="T47" s="237" t="s">
        <v>46</v>
      </c>
      <c r="U47" s="237" t="s">
        <v>536</v>
      </c>
      <c r="V47" s="237" t="s">
        <v>35</v>
      </c>
      <c r="W47" s="237" t="s">
        <v>570</v>
      </c>
      <c r="X47" s="237" t="s">
        <v>571</v>
      </c>
      <c r="Y47" s="237" t="s">
        <v>572</v>
      </c>
      <c r="Z47" s="238" t="s">
        <v>573</v>
      </c>
    </row>
    <row r="48" spans="1:26" ht="16.5" customHeight="1">
      <c r="A48" s="1915" t="s">
        <v>14</v>
      </c>
      <c r="B48" s="83" t="s">
        <v>134</v>
      </c>
      <c r="C48" s="113" t="s">
        <v>574</v>
      </c>
      <c r="D48" s="134"/>
      <c r="K48" s="74">
        <v>1978</v>
      </c>
      <c r="L48" s="69"/>
      <c r="M48" s="69"/>
      <c r="N48" s="75"/>
      <c r="O48" s="71"/>
      <c r="P48" s="71"/>
      <c r="Q48" s="69"/>
      <c r="R48" s="69"/>
    </row>
    <row r="49" spans="1:99" ht="16.5" customHeight="1" thickBot="1">
      <c r="A49" s="1916"/>
      <c r="B49" s="88" t="s">
        <v>0</v>
      </c>
      <c r="C49" s="89" t="s">
        <v>575</v>
      </c>
      <c r="D49" s="134"/>
      <c r="K49" s="74">
        <v>1977</v>
      </c>
      <c r="L49" s="69"/>
      <c r="M49" s="69"/>
      <c r="N49" s="75"/>
      <c r="O49" s="71"/>
      <c r="P49" s="71"/>
      <c r="Q49" s="69"/>
      <c r="R49" s="69"/>
    </row>
    <row r="50" spans="1:99" ht="16.5" customHeight="1">
      <c r="A50" s="1916"/>
      <c r="B50" s="92" t="s">
        <v>140</v>
      </c>
      <c r="C50" s="93" t="s">
        <v>578</v>
      </c>
      <c r="D50" s="134"/>
      <c r="K50" s="74">
        <v>1976</v>
      </c>
      <c r="L50" s="69"/>
      <c r="M50" s="69"/>
      <c r="N50" s="75"/>
      <c r="O50" s="193" t="str">
        <f>$O$8</f>
        <v>Việt Nam</v>
      </c>
      <c r="P50" s="199" t="s">
        <v>580</v>
      </c>
      <c r="Q50" s="229" t="s">
        <v>581</v>
      </c>
      <c r="R50" s="226"/>
      <c r="S50" s="185" t="s">
        <v>303</v>
      </c>
    </row>
    <row r="51" spans="1:99" ht="16.5" customHeight="1">
      <c r="A51" s="1916"/>
      <c r="B51" s="95" t="s">
        <v>143</v>
      </c>
      <c r="C51" s="105" t="s">
        <v>582</v>
      </c>
      <c r="D51" s="134"/>
      <c r="K51" s="74">
        <v>1975</v>
      </c>
      <c r="L51" s="69"/>
      <c r="M51" s="69"/>
      <c r="N51" s="75"/>
      <c r="O51" s="194" t="str">
        <f>$O$9</f>
        <v>中国</v>
      </c>
      <c r="P51" s="200" t="s">
        <v>190</v>
      </c>
      <c r="Q51" s="220" t="s">
        <v>584</v>
      </c>
      <c r="R51" s="223" t="s">
        <v>585</v>
      </c>
      <c r="S51" s="220" t="s">
        <v>190</v>
      </c>
    </row>
    <row r="52" spans="1:99" ht="16.5" customHeight="1" thickBot="1">
      <c r="A52" s="1917"/>
      <c r="B52" s="97" t="s">
        <v>146</v>
      </c>
      <c r="C52" s="115" t="s">
        <v>586</v>
      </c>
      <c r="D52" s="134"/>
      <c r="K52" s="74">
        <v>1974</v>
      </c>
      <c r="L52" s="69"/>
      <c r="M52" s="69"/>
      <c r="N52" s="75"/>
      <c r="O52" s="195" t="str">
        <f>$O$10</f>
        <v>English</v>
      </c>
      <c r="P52" s="200" t="s">
        <v>321</v>
      </c>
      <c r="Q52" s="220" t="s">
        <v>587</v>
      </c>
      <c r="R52" s="223" t="s">
        <v>140</v>
      </c>
      <c r="S52" s="187" t="s">
        <v>321</v>
      </c>
    </row>
    <row r="53" spans="1:99" ht="16.5" customHeight="1">
      <c r="A53" s="1918" t="s">
        <v>588</v>
      </c>
      <c r="B53" s="101" t="s">
        <v>134</v>
      </c>
      <c r="C53" s="102" t="s">
        <v>589</v>
      </c>
      <c r="D53" s="134"/>
      <c r="K53" s="74">
        <v>1973</v>
      </c>
      <c r="L53" s="69"/>
      <c r="M53" s="69"/>
      <c r="N53" s="75"/>
      <c r="O53" s="196" t="str">
        <f>$O$11</f>
        <v>한국어</v>
      </c>
      <c r="P53" s="200" t="s">
        <v>251</v>
      </c>
      <c r="Q53" s="220" t="s">
        <v>590</v>
      </c>
      <c r="R53" s="223" t="s">
        <v>591</v>
      </c>
      <c r="S53" s="187" t="s">
        <v>332</v>
      </c>
    </row>
    <row r="54" spans="1:99" ht="16.5" customHeight="1" thickBot="1">
      <c r="A54" s="1916"/>
      <c r="B54" s="88" t="s">
        <v>0</v>
      </c>
      <c r="C54" s="89" t="s">
        <v>592</v>
      </c>
      <c r="D54" s="161"/>
      <c r="E54" s="162"/>
      <c r="K54" s="74">
        <v>1972</v>
      </c>
      <c r="L54" s="69"/>
      <c r="M54" s="69"/>
      <c r="N54" s="75"/>
      <c r="O54" s="197" t="str">
        <f>$O$12</f>
        <v>日本語</v>
      </c>
      <c r="P54" s="201"/>
      <c r="Q54" s="237"/>
      <c r="R54" s="238"/>
      <c r="S54" s="192" t="s">
        <v>341</v>
      </c>
    </row>
    <row r="55" spans="1:99" ht="16.5" customHeight="1">
      <c r="A55" s="1916"/>
      <c r="B55" s="92" t="s">
        <v>140</v>
      </c>
      <c r="C55" s="93" t="s">
        <v>593</v>
      </c>
      <c r="D55" s="161"/>
      <c r="E55" s="162"/>
      <c r="K55" s="74">
        <v>1971</v>
      </c>
      <c r="L55" s="69"/>
      <c r="M55" s="69"/>
      <c r="N55" s="75"/>
      <c r="O55" s="71"/>
      <c r="P55" s="183">
        <v>2</v>
      </c>
      <c r="Q55" s="218">
        <v>3</v>
      </c>
      <c r="R55" s="218">
        <v>4</v>
      </c>
      <c r="S55" s="218">
        <v>5</v>
      </c>
      <c r="T55" s="218">
        <v>6</v>
      </c>
      <c r="U55" s="218">
        <v>7</v>
      </c>
      <c r="V55" s="218">
        <v>8</v>
      </c>
      <c r="W55" s="218">
        <v>9</v>
      </c>
      <c r="X55" s="218">
        <v>10</v>
      </c>
      <c r="Y55" s="218">
        <v>11</v>
      </c>
      <c r="Z55" s="218">
        <v>12</v>
      </c>
      <c r="AA55" s="218">
        <v>13</v>
      </c>
      <c r="AB55" s="218">
        <v>14</v>
      </c>
      <c r="AC55" s="218">
        <v>15</v>
      </c>
      <c r="AD55" s="218">
        <v>16</v>
      </c>
      <c r="AE55" s="218">
        <v>17</v>
      </c>
      <c r="AF55" s="218">
        <v>18</v>
      </c>
      <c r="AG55" s="218">
        <v>19</v>
      </c>
      <c r="AH55" s="218">
        <v>20</v>
      </c>
      <c r="AI55" s="218">
        <v>21</v>
      </c>
      <c r="AJ55" s="218">
        <v>22</v>
      </c>
      <c r="AK55" s="218">
        <v>23</v>
      </c>
      <c r="AL55" s="218">
        <v>24</v>
      </c>
      <c r="AM55" s="218">
        <v>25</v>
      </c>
      <c r="AN55" s="218">
        <v>26</v>
      </c>
      <c r="AO55" s="218">
        <v>27</v>
      </c>
      <c r="AP55" s="218">
        <v>28</v>
      </c>
      <c r="AQ55" s="218">
        <v>29</v>
      </c>
      <c r="AR55" s="218">
        <v>30</v>
      </c>
      <c r="AS55" s="218">
        <v>31</v>
      </c>
      <c r="AT55" s="218">
        <v>32</v>
      </c>
      <c r="AU55" s="218">
        <v>33</v>
      </c>
      <c r="AV55" s="218">
        <v>34</v>
      </c>
      <c r="AW55" s="218">
        <v>35</v>
      </c>
      <c r="AX55" s="218">
        <v>36</v>
      </c>
      <c r="AY55" s="218">
        <v>37</v>
      </c>
      <c r="AZ55" s="218">
        <v>38</v>
      </c>
      <c r="BA55" s="218">
        <v>39</v>
      </c>
      <c r="BB55" s="218">
        <v>40</v>
      </c>
      <c r="BC55" s="218">
        <v>41</v>
      </c>
      <c r="BD55" s="218">
        <v>42</v>
      </c>
      <c r="BE55" s="218">
        <v>43</v>
      </c>
      <c r="BF55" s="218">
        <v>44</v>
      </c>
      <c r="BG55" s="218">
        <v>45</v>
      </c>
      <c r="BH55" s="218">
        <v>46</v>
      </c>
      <c r="BI55" s="218">
        <v>47</v>
      </c>
      <c r="BJ55" s="218">
        <v>48</v>
      </c>
      <c r="BK55" s="218">
        <v>49</v>
      </c>
      <c r="BL55" s="218">
        <v>50</v>
      </c>
      <c r="BM55" s="218">
        <v>51</v>
      </c>
      <c r="BN55" s="218">
        <v>52</v>
      </c>
      <c r="BO55" s="218">
        <v>53</v>
      </c>
      <c r="BP55" s="218">
        <v>54</v>
      </c>
      <c r="BQ55" s="218">
        <v>55</v>
      </c>
      <c r="BR55" s="218">
        <v>56</v>
      </c>
      <c r="BS55" s="218">
        <v>57</v>
      </c>
      <c r="BT55" s="218">
        <v>58</v>
      </c>
      <c r="BU55" s="218">
        <v>59</v>
      </c>
      <c r="BV55" s="218">
        <v>60</v>
      </c>
      <c r="BW55" s="218">
        <v>61</v>
      </c>
      <c r="BX55" s="218">
        <v>62</v>
      </c>
      <c r="BY55" s="218">
        <v>63</v>
      </c>
      <c r="BZ55" s="218">
        <v>64</v>
      </c>
      <c r="CA55" s="218">
        <v>65</v>
      </c>
      <c r="CB55" s="218">
        <v>66</v>
      </c>
      <c r="CC55" s="218">
        <v>67</v>
      </c>
      <c r="CD55" s="218">
        <v>68</v>
      </c>
      <c r="CE55" s="218">
        <v>69</v>
      </c>
      <c r="CF55" s="218">
        <v>70</v>
      </c>
      <c r="CG55" s="218">
        <v>71</v>
      </c>
      <c r="CH55" s="218">
        <v>72</v>
      </c>
      <c r="CI55" s="218">
        <v>73</v>
      </c>
      <c r="CJ55" s="218">
        <v>74</v>
      </c>
      <c r="CK55" s="218">
        <v>75</v>
      </c>
      <c r="CL55" s="218">
        <v>76</v>
      </c>
      <c r="CM55" s="218">
        <v>77</v>
      </c>
      <c r="CN55" s="218">
        <v>78</v>
      </c>
      <c r="CO55" s="218">
        <v>79</v>
      </c>
      <c r="CP55" s="218">
        <v>80</v>
      </c>
      <c r="CQ55" s="218">
        <v>81</v>
      </c>
      <c r="CR55" s="69">
        <v>82</v>
      </c>
      <c r="CS55" s="69">
        <v>83</v>
      </c>
      <c r="CT55" s="69">
        <v>84</v>
      </c>
    </row>
    <row r="56" spans="1:99" ht="16.5" customHeight="1">
      <c r="A56" s="1916"/>
      <c r="B56" s="95" t="s">
        <v>143</v>
      </c>
      <c r="C56" s="105" t="s">
        <v>594</v>
      </c>
      <c r="D56" s="161"/>
      <c r="E56" s="1873" t="s">
        <v>595</v>
      </c>
      <c r="F56" s="163" t="s">
        <v>596</v>
      </c>
      <c r="G56" s="164" t="s">
        <v>597</v>
      </c>
      <c r="H56" s="165" t="s">
        <v>598</v>
      </c>
      <c r="I56" s="209" t="s">
        <v>599</v>
      </c>
      <c r="K56" s="74">
        <v>1970</v>
      </c>
      <c r="L56" s="69"/>
      <c r="M56" s="69"/>
      <c r="N56" s="75"/>
      <c r="O56" s="1957" t="s">
        <v>600</v>
      </c>
      <c r="P56" s="1958"/>
      <c r="Q56" s="1958"/>
      <c r="R56" s="1958"/>
      <c r="S56" s="1958"/>
      <c r="T56" s="1958"/>
      <c r="U56" s="1958"/>
      <c r="V56" s="1958"/>
      <c r="W56" s="1958"/>
      <c r="X56" s="1958"/>
      <c r="Y56" s="1958"/>
      <c r="Z56" s="1958"/>
      <c r="AA56" s="1958"/>
      <c r="AB56" s="1958"/>
      <c r="AC56" s="1958"/>
      <c r="AD56" s="1958"/>
      <c r="AE56" s="1958"/>
      <c r="AF56" s="1958"/>
      <c r="AG56" s="1958"/>
      <c r="AH56" s="1958"/>
      <c r="AI56" s="1958"/>
      <c r="AJ56" s="1958"/>
      <c r="AK56" s="1958"/>
      <c r="AL56" s="1958"/>
      <c r="AM56" s="1958"/>
      <c r="AN56" s="1958"/>
      <c r="AO56" s="1958"/>
      <c r="AP56" s="1958"/>
      <c r="AQ56" s="1958"/>
      <c r="AR56" s="1958"/>
      <c r="AS56" s="1958"/>
      <c r="AT56" s="1958"/>
      <c r="AU56" s="1958"/>
      <c r="AV56" s="1958"/>
      <c r="AW56" s="1958"/>
      <c r="AX56" s="1958"/>
      <c r="AY56" s="1958"/>
      <c r="AZ56" s="1958"/>
      <c r="BA56" s="1958"/>
      <c r="BB56" s="1958"/>
      <c r="BC56" s="1958"/>
      <c r="BD56" s="1958"/>
      <c r="BE56" s="1958"/>
      <c r="BF56" s="1958"/>
      <c r="BG56" s="1958"/>
      <c r="BH56" s="1958"/>
      <c r="BI56" s="1958"/>
      <c r="BJ56" s="1958"/>
      <c r="BK56" s="1958"/>
      <c r="BL56" s="1958"/>
      <c r="BM56" s="1958"/>
      <c r="BN56" s="1958"/>
      <c r="BO56" s="1958"/>
      <c r="BP56" s="1958"/>
      <c r="BQ56" s="1958"/>
      <c r="BR56" s="1958"/>
      <c r="BS56" s="1958"/>
      <c r="BT56" s="1958"/>
      <c r="BU56" s="1958"/>
      <c r="BV56" s="1958"/>
      <c r="BW56" s="1958"/>
      <c r="BX56" s="1958"/>
      <c r="BY56" s="1958"/>
      <c r="BZ56" s="1958"/>
      <c r="CA56" s="1958"/>
      <c r="CB56" s="1958"/>
      <c r="CC56" s="1958"/>
      <c r="CD56" s="1958"/>
      <c r="CE56" s="1958"/>
      <c r="CF56" s="1958"/>
      <c r="CG56" s="1958"/>
      <c r="CH56" s="1958"/>
      <c r="CI56" s="1958"/>
      <c r="CJ56" s="1958"/>
      <c r="CK56" s="1958"/>
      <c r="CL56" s="1958"/>
      <c r="CM56" s="1958"/>
      <c r="CN56" s="1958"/>
      <c r="CO56" s="1958"/>
      <c r="CP56" s="1958"/>
      <c r="CQ56" s="1958"/>
      <c r="CR56" s="1958"/>
      <c r="CS56" s="1958"/>
      <c r="CT56" s="1959"/>
    </row>
    <row r="57" spans="1:99" ht="16.5" customHeight="1">
      <c r="A57" s="1919"/>
      <c r="B57" s="108" t="s">
        <v>146</v>
      </c>
      <c r="C57" s="109" t="s">
        <v>601</v>
      </c>
      <c r="D57" s="161"/>
      <c r="E57" s="1874"/>
      <c r="F57" s="166" t="s">
        <v>602</v>
      </c>
      <c r="G57" s="167" t="s">
        <v>603</v>
      </c>
      <c r="H57" s="168" t="s">
        <v>604</v>
      </c>
      <c r="I57" s="210" t="s">
        <v>605</v>
      </c>
      <c r="K57" s="74">
        <v>1969</v>
      </c>
      <c r="L57" s="69"/>
      <c r="M57" s="69"/>
      <c r="N57" s="75"/>
      <c r="O57" s="211" t="str">
        <f>$O$8</f>
        <v>Việt Nam</v>
      </c>
      <c r="P57" s="185" t="s">
        <v>154</v>
      </c>
      <c r="Q57" s="219" t="s">
        <v>606</v>
      </c>
      <c r="R57" s="219" t="s">
        <v>580</v>
      </c>
      <c r="S57" s="219" t="s">
        <v>157</v>
      </c>
      <c r="T57" s="219" t="s">
        <v>158</v>
      </c>
      <c r="U57" s="219" t="s">
        <v>137</v>
      </c>
      <c r="V57" s="219" t="s">
        <v>139</v>
      </c>
      <c r="W57" s="219" t="s">
        <v>159</v>
      </c>
      <c r="X57" s="219" t="s">
        <v>160</v>
      </c>
      <c r="Y57" s="219" t="s">
        <v>161</v>
      </c>
      <c r="Z57" s="219" t="s">
        <v>162</v>
      </c>
      <c r="AA57" s="219" t="s">
        <v>163</v>
      </c>
      <c r="AB57" s="219" t="s">
        <v>164</v>
      </c>
      <c r="AC57" s="219" t="s">
        <v>165</v>
      </c>
      <c r="AD57" s="219" t="s">
        <v>166</v>
      </c>
      <c r="AE57" s="219" t="s">
        <v>167</v>
      </c>
      <c r="AF57" s="219" t="s">
        <v>168</v>
      </c>
      <c r="AG57" s="219" t="s">
        <v>169</v>
      </c>
      <c r="AH57" s="219" t="s">
        <v>170</v>
      </c>
      <c r="AI57" s="219" t="s">
        <v>171</v>
      </c>
      <c r="AJ57" s="219" t="s">
        <v>172</v>
      </c>
      <c r="AK57" s="219" t="s">
        <v>173</v>
      </c>
      <c r="AL57" s="219" t="s">
        <v>174</v>
      </c>
      <c r="AM57" s="219" t="s">
        <v>175</v>
      </c>
      <c r="AN57" s="219" t="s">
        <v>607</v>
      </c>
      <c r="AO57" s="219" t="s">
        <v>177</v>
      </c>
      <c r="AP57" s="219" t="s">
        <v>178</v>
      </c>
      <c r="AQ57" s="219" t="s">
        <v>179</v>
      </c>
      <c r="AR57" s="219" t="s">
        <v>180</v>
      </c>
      <c r="AS57" s="219" t="s">
        <v>181</v>
      </c>
      <c r="AT57" s="219" t="s">
        <v>182</v>
      </c>
      <c r="AU57" s="219" t="s">
        <v>183</v>
      </c>
      <c r="AV57" s="219" t="s">
        <v>184</v>
      </c>
      <c r="AW57" s="219" t="s">
        <v>442</v>
      </c>
      <c r="AX57" s="219" t="s">
        <v>443</v>
      </c>
      <c r="AY57" s="219" t="s">
        <v>444</v>
      </c>
      <c r="AZ57" s="219" t="s">
        <v>445</v>
      </c>
      <c r="BA57" s="219" t="s">
        <v>446</v>
      </c>
      <c r="BB57" s="219" t="s">
        <v>447</v>
      </c>
      <c r="BC57" s="219" t="s">
        <v>348</v>
      </c>
      <c r="BD57" s="219" t="s">
        <v>349</v>
      </c>
      <c r="BE57" s="219" t="s">
        <v>350</v>
      </c>
      <c r="BF57" s="219" t="s">
        <v>351</v>
      </c>
      <c r="BG57" s="219" t="s">
        <v>352</v>
      </c>
      <c r="BH57" s="219" t="s">
        <v>353</v>
      </c>
      <c r="BI57" s="219" t="s">
        <v>354</v>
      </c>
      <c r="BJ57" s="219" t="s">
        <v>355</v>
      </c>
      <c r="BK57" s="219"/>
      <c r="BL57" s="219" t="s">
        <v>356</v>
      </c>
      <c r="BM57" s="219" t="s">
        <v>357</v>
      </c>
      <c r="BN57" s="219" t="s">
        <v>358</v>
      </c>
      <c r="BO57" s="219" t="s">
        <v>608</v>
      </c>
      <c r="BP57" s="219" t="s">
        <v>360</v>
      </c>
      <c r="BQ57" s="219" t="s">
        <v>361</v>
      </c>
      <c r="BR57" s="219" t="s">
        <v>362</v>
      </c>
      <c r="BS57" s="243" t="s">
        <v>609</v>
      </c>
      <c r="BT57" s="219" t="s">
        <v>522</v>
      </c>
      <c r="BU57" s="219" t="s">
        <v>610</v>
      </c>
      <c r="BV57" s="219" t="s">
        <v>524</v>
      </c>
      <c r="BW57" s="219" t="s">
        <v>525</v>
      </c>
      <c r="BX57" s="219" t="s">
        <v>526</v>
      </c>
      <c r="BY57" s="219" t="s">
        <v>171</v>
      </c>
      <c r="BZ57" s="219" t="s">
        <v>527</v>
      </c>
      <c r="CA57" s="219" t="s">
        <v>528</v>
      </c>
      <c r="CB57" s="219" t="s">
        <v>529</v>
      </c>
      <c r="CC57" s="219" t="s">
        <v>530</v>
      </c>
      <c r="CD57" s="219" t="s">
        <v>479</v>
      </c>
      <c r="CE57" s="243" t="s">
        <v>611</v>
      </c>
      <c r="CF57" s="219" t="s">
        <v>162</v>
      </c>
      <c r="CG57" s="219" t="s">
        <v>481</v>
      </c>
      <c r="CH57" s="219" t="s">
        <v>181</v>
      </c>
      <c r="CI57" s="219" t="s">
        <v>482</v>
      </c>
      <c r="CJ57" s="219" t="s">
        <v>483</v>
      </c>
      <c r="CK57" s="219" t="s">
        <v>484</v>
      </c>
      <c r="CL57" s="219"/>
      <c r="CM57" s="219" t="s">
        <v>308</v>
      </c>
      <c r="CN57" s="243" t="s">
        <v>612</v>
      </c>
      <c r="CO57" s="219" t="s">
        <v>613</v>
      </c>
      <c r="CP57" s="219" t="s">
        <v>614</v>
      </c>
      <c r="CQ57" s="219" t="s">
        <v>615</v>
      </c>
      <c r="CR57" s="240" t="s">
        <v>616</v>
      </c>
      <c r="CS57" s="69" t="s">
        <v>617</v>
      </c>
      <c r="CT57" s="69" t="s">
        <v>618</v>
      </c>
      <c r="CU57" s="69" t="s">
        <v>619</v>
      </c>
    </row>
    <row r="58" spans="1:99" ht="16.5" customHeight="1">
      <c r="A58" s="1915" t="s">
        <v>16</v>
      </c>
      <c r="B58" s="83" t="s">
        <v>134</v>
      </c>
      <c r="C58" s="113" t="s">
        <v>620</v>
      </c>
      <c r="D58" s="161"/>
      <c r="E58" s="1874"/>
      <c r="F58" s="169" t="s">
        <v>0</v>
      </c>
      <c r="G58" s="170" t="s">
        <v>0</v>
      </c>
      <c r="H58" s="171" t="s">
        <v>621</v>
      </c>
      <c r="I58" s="212" t="s">
        <v>622</v>
      </c>
      <c r="K58" s="74">
        <v>1968</v>
      </c>
      <c r="L58" s="69"/>
      <c r="M58" s="69"/>
      <c r="N58" s="75"/>
      <c r="O58" s="194" t="str">
        <f>$O$9</f>
        <v>中国</v>
      </c>
      <c r="P58" s="187" t="s">
        <v>188</v>
      </c>
      <c r="Q58" s="220" t="s">
        <v>189</v>
      </c>
      <c r="R58" s="220" t="s">
        <v>190</v>
      </c>
      <c r="S58" s="220" t="s">
        <v>191</v>
      </c>
      <c r="T58" s="220" t="s">
        <v>101</v>
      </c>
      <c r="U58" s="220" t="s">
        <v>102</v>
      </c>
      <c r="V58" s="220" t="s">
        <v>103</v>
      </c>
      <c r="W58" s="220" t="s">
        <v>192</v>
      </c>
      <c r="X58" s="220" t="s">
        <v>193</v>
      </c>
      <c r="Y58" s="220" t="s">
        <v>194</v>
      </c>
      <c r="Z58" s="220" t="s">
        <v>195</v>
      </c>
      <c r="AA58" s="220" t="s">
        <v>196</v>
      </c>
      <c r="AB58" s="220" t="s">
        <v>197</v>
      </c>
      <c r="AC58" s="220" t="s">
        <v>198</v>
      </c>
      <c r="AD58" s="220" t="s">
        <v>24</v>
      </c>
      <c r="AE58" s="220" t="s">
        <v>199</v>
      </c>
      <c r="AF58" s="220" t="s">
        <v>200</v>
      </c>
      <c r="AG58" s="220" t="s">
        <v>201</v>
      </c>
      <c r="AH58" s="220" t="s">
        <v>25</v>
      </c>
      <c r="AI58" s="220" t="s">
        <v>537</v>
      </c>
      <c r="AJ58" s="220" t="s">
        <v>203</v>
      </c>
      <c r="AK58" s="220" t="s">
        <v>204</v>
      </c>
      <c r="AL58" s="220" t="s">
        <v>205</v>
      </c>
      <c r="AM58" s="220" t="s">
        <v>206</v>
      </c>
      <c r="AN58" s="220" t="s">
        <v>623</v>
      </c>
      <c r="AO58" s="220" t="s">
        <v>207</v>
      </c>
      <c r="AP58" s="220" t="s">
        <v>208</v>
      </c>
      <c r="AQ58" s="220" t="s">
        <v>209</v>
      </c>
      <c r="AR58" s="220" t="s">
        <v>210</v>
      </c>
      <c r="AS58" s="220" t="s">
        <v>211</v>
      </c>
      <c r="AT58" s="220" t="s">
        <v>212</v>
      </c>
      <c r="AU58" s="220" t="s">
        <v>213</v>
      </c>
      <c r="AV58" s="220" t="s">
        <v>214</v>
      </c>
      <c r="AW58" s="220" t="s">
        <v>449</v>
      </c>
      <c r="AX58" s="220" t="s">
        <v>450</v>
      </c>
      <c r="AY58" s="220" t="s">
        <v>451</v>
      </c>
      <c r="AZ58" s="220" t="s">
        <v>374</v>
      </c>
      <c r="BA58" s="220" t="s">
        <v>452</v>
      </c>
      <c r="BB58" s="220" t="s">
        <v>453</v>
      </c>
      <c r="BC58" s="220" t="s">
        <v>370</v>
      </c>
      <c r="BD58" s="220" t="s">
        <v>371</v>
      </c>
      <c r="BE58" s="220" t="s">
        <v>372</v>
      </c>
      <c r="BF58" s="220" t="s">
        <v>373</v>
      </c>
      <c r="BG58" s="220" t="s">
        <v>374</v>
      </c>
      <c r="BH58" s="220" t="s">
        <v>375</v>
      </c>
      <c r="BI58" s="220" t="s">
        <v>376</v>
      </c>
      <c r="BJ58" s="220" t="s">
        <v>377</v>
      </c>
      <c r="BK58" s="220" t="s">
        <v>196</v>
      </c>
      <c r="BL58" s="220" t="s">
        <v>378</v>
      </c>
      <c r="BM58" s="220" t="s">
        <v>379</v>
      </c>
      <c r="BN58" s="220" t="s">
        <v>380</v>
      </c>
      <c r="BO58" s="220" t="s">
        <v>624</v>
      </c>
      <c r="BP58" s="220" t="s">
        <v>57</v>
      </c>
      <c r="BQ58" s="220" t="s">
        <v>381</v>
      </c>
      <c r="BR58" s="220" t="s">
        <v>382</v>
      </c>
      <c r="BS58" s="220" t="s">
        <v>532</v>
      </c>
      <c r="BT58" s="220" t="s">
        <v>533</v>
      </c>
      <c r="BU58" s="220" t="s">
        <v>534</v>
      </c>
      <c r="BV58" s="220" t="s">
        <v>535</v>
      </c>
      <c r="BW58" s="220" t="s">
        <v>46</v>
      </c>
      <c r="BX58" s="220" t="s">
        <v>625</v>
      </c>
      <c r="BY58" s="220" t="s">
        <v>537</v>
      </c>
      <c r="BZ58" s="220" t="s">
        <v>538</v>
      </c>
      <c r="CA58" s="220" t="s">
        <v>539</v>
      </c>
      <c r="CB58" s="220" t="s">
        <v>626</v>
      </c>
      <c r="CC58" s="220" t="s">
        <v>627</v>
      </c>
      <c r="CD58" s="220" t="s">
        <v>486</v>
      </c>
      <c r="CE58" s="220" t="s">
        <v>487</v>
      </c>
      <c r="CF58" s="220" t="s">
        <v>488</v>
      </c>
      <c r="CG58" s="220" t="s">
        <v>628</v>
      </c>
      <c r="CH58" s="220" t="s">
        <v>293</v>
      </c>
      <c r="CI58" s="220" t="s">
        <v>490</v>
      </c>
      <c r="CJ58" s="220" t="s">
        <v>491</v>
      </c>
      <c r="CK58" s="220" t="s">
        <v>492</v>
      </c>
      <c r="CL58" s="220"/>
      <c r="CM58" s="220" t="s">
        <v>317</v>
      </c>
      <c r="CN58" s="220" t="s">
        <v>318</v>
      </c>
      <c r="CO58" s="220" t="s">
        <v>319</v>
      </c>
      <c r="CP58" s="220" t="s">
        <v>21</v>
      </c>
      <c r="CQ58" s="220" t="s">
        <v>22</v>
      </c>
      <c r="CR58" s="244" t="s">
        <v>629</v>
      </c>
      <c r="CS58" s="69" t="s">
        <v>630</v>
      </c>
      <c r="CT58" s="247" t="s">
        <v>631</v>
      </c>
      <c r="CU58" s="247" t="s">
        <v>632</v>
      </c>
    </row>
    <row r="59" spans="1:99" ht="16.5" customHeight="1">
      <c r="A59" s="1916"/>
      <c r="B59" s="88" t="s">
        <v>0</v>
      </c>
      <c r="C59" s="89" t="s">
        <v>633</v>
      </c>
      <c r="D59" s="161"/>
      <c r="E59" s="1874"/>
      <c r="F59" s="172" t="s">
        <v>634</v>
      </c>
      <c r="G59" s="173" t="s">
        <v>634</v>
      </c>
      <c r="H59" s="174" t="s">
        <v>635</v>
      </c>
      <c r="I59" s="213" t="s">
        <v>636</v>
      </c>
      <c r="K59" s="74">
        <v>1967</v>
      </c>
      <c r="L59" s="69"/>
      <c r="M59" s="69"/>
      <c r="N59" s="75"/>
      <c r="O59" s="195" t="str">
        <f>$O$10</f>
        <v>English</v>
      </c>
      <c r="P59" s="187" t="s">
        <v>218</v>
      </c>
      <c r="Q59" s="220" t="s">
        <v>637</v>
      </c>
      <c r="R59" s="220" t="s">
        <v>638</v>
      </c>
      <c r="S59" s="220" t="s">
        <v>220</v>
      </c>
      <c r="T59" s="220" t="s">
        <v>221</v>
      </c>
      <c r="U59" s="220" t="s">
        <v>148</v>
      </c>
      <c r="V59" s="220" t="s">
        <v>153</v>
      </c>
      <c r="W59" s="220" t="s">
        <v>222</v>
      </c>
      <c r="X59" s="220" t="s">
        <v>223</v>
      </c>
      <c r="Y59" s="220" t="s">
        <v>224</v>
      </c>
      <c r="Z59" s="220" t="s">
        <v>639</v>
      </c>
      <c r="AA59" s="220" t="s">
        <v>126</v>
      </c>
      <c r="AB59" s="220" t="s">
        <v>127</v>
      </c>
      <c r="AC59" s="220" t="s">
        <v>128</v>
      </c>
      <c r="AD59" s="220" t="s">
        <v>640</v>
      </c>
      <c r="AE59" s="220" t="s">
        <v>230</v>
      </c>
      <c r="AF59" s="220" t="s">
        <v>231</v>
      </c>
      <c r="AG59" s="220" t="s">
        <v>232</v>
      </c>
      <c r="AH59" s="220" t="s">
        <v>233</v>
      </c>
      <c r="AI59" s="220" t="s">
        <v>234</v>
      </c>
      <c r="AJ59" s="220" t="s">
        <v>235</v>
      </c>
      <c r="AK59" s="220" t="s">
        <v>236</v>
      </c>
      <c r="AL59" s="220" t="s">
        <v>237</v>
      </c>
      <c r="AM59" s="220" t="s">
        <v>641</v>
      </c>
      <c r="AN59" s="220" t="s">
        <v>642</v>
      </c>
      <c r="AO59" s="220" t="s">
        <v>240</v>
      </c>
      <c r="AP59" s="220" t="s">
        <v>643</v>
      </c>
      <c r="AQ59" s="220" t="s">
        <v>644</v>
      </c>
      <c r="AR59" s="220" t="s">
        <v>645</v>
      </c>
      <c r="AS59" s="220" t="s">
        <v>244</v>
      </c>
      <c r="AT59" s="220" t="s">
        <v>245</v>
      </c>
      <c r="AU59" s="220" t="s">
        <v>246</v>
      </c>
      <c r="AV59" s="220" t="s">
        <v>247</v>
      </c>
      <c r="AW59" s="220" t="s">
        <v>455</v>
      </c>
      <c r="AX59" s="220" t="s">
        <v>456</v>
      </c>
      <c r="AY59" s="220" t="s">
        <v>646</v>
      </c>
      <c r="AZ59" s="220" t="s">
        <v>458</v>
      </c>
      <c r="BA59" s="220" t="s">
        <v>647</v>
      </c>
      <c r="BB59" s="220" t="s">
        <v>648</v>
      </c>
      <c r="BC59" s="220" t="s">
        <v>388</v>
      </c>
      <c r="BD59" s="220" t="s">
        <v>389</v>
      </c>
      <c r="BE59" s="220" t="s">
        <v>390</v>
      </c>
      <c r="BF59" s="220" t="s">
        <v>391</v>
      </c>
      <c r="BG59" s="220" t="s">
        <v>392</v>
      </c>
      <c r="BH59" s="220" t="s">
        <v>649</v>
      </c>
      <c r="BI59" s="220" t="s">
        <v>650</v>
      </c>
      <c r="BJ59" s="220" t="s">
        <v>395</v>
      </c>
      <c r="BK59" s="220" t="s">
        <v>396</v>
      </c>
      <c r="BL59" s="220" t="s">
        <v>397</v>
      </c>
      <c r="BM59" s="220" t="s">
        <v>398</v>
      </c>
      <c r="BN59" s="220" t="s">
        <v>399</v>
      </c>
      <c r="BO59" s="220" t="s">
        <v>651</v>
      </c>
      <c r="BP59" s="220" t="s">
        <v>401</v>
      </c>
      <c r="BQ59" s="220" t="s">
        <v>402</v>
      </c>
      <c r="BR59" s="220" t="s">
        <v>652</v>
      </c>
      <c r="BS59" s="220" t="s">
        <v>543</v>
      </c>
      <c r="BT59" s="220" t="s">
        <v>544</v>
      </c>
      <c r="BU59" s="220" t="s">
        <v>545</v>
      </c>
      <c r="BV59" s="220" t="s">
        <v>546</v>
      </c>
      <c r="BW59" s="220" t="s">
        <v>547</v>
      </c>
      <c r="BX59" s="220" t="s">
        <v>548</v>
      </c>
      <c r="BY59" s="220" t="s">
        <v>549</v>
      </c>
      <c r="BZ59" s="220" t="s">
        <v>550</v>
      </c>
      <c r="CA59" s="220" t="s">
        <v>551</v>
      </c>
      <c r="CB59" s="220" t="s">
        <v>552</v>
      </c>
      <c r="CC59" s="220" t="s">
        <v>553</v>
      </c>
      <c r="CD59" s="220" t="s">
        <v>494</v>
      </c>
      <c r="CE59" s="220" t="s">
        <v>495</v>
      </c>
      <c r="CF59" s="220" t="s">
        <v>639</v>
      </c>
      <c r="CG59" s="220" t="s">
        <v>325</v>
      </c>
      <c r="CH59" s="220" t="s">
        <v>496</v>
      </c>
      <c r="CI59" s="220" t="s">
        <v>497</v>
      </c>
      <c r="CJ59" s="220" t="s">
        <v>498</v>
      </c>
      <c r="CK59" s="220" t="s">
        <v>499</v>
      </c>
      <c r="CL59" s="220"/>
      <c r="CM59" s="220" t="s">
        <v>326</v>
      </c>
      <c r="CN59" s="220" t="s">
        <v>327</v>
      </c>
      <c r="CO59" s="220" t="s">
        <v>328</v>
      </c>
      <c r="CP59" s="245" t="s">
        <v>156</v>
      </c>
      <c r="CQ59" s="245" t="s">
        <v>156</v>
      </c>
      <c r="CR59" s="223" t="s">
        <v>653</v>
      </c>
      <c r="CS59" s="69" t="s">
        <v>654</v>
      </c>
      <c r="CT59" s="69" t="s">
        <v>655</v>
      </c>
      <c r="CU59" s="69" t="s">
        <v>656</v>
      </c>
    </row>
    <row r="60" spans="1:99" ht="16.5" customHeight="1">
      <c r="A60" s="1916"/>
      <c r="B60" s="92" t="s">
        <v>140</v>
      </c>
      <c r="C60" s="93" t="s">
        <v>657</v>
      </c>
      <c r="D60" s="134"/>
      <c r="E60" s="1874"/>
      <c r="F60" s="172" t="s">
        <v>658</v>
      </c>
      <c r="G60" s="173" t="s">
        <v>659</v>
      </c>
      <c r="H60" s="174" t="s">
        <v>660</v>
      </c>
      <c r="I60" s="214" t="s">
        <v>661</v>
      </c>
      <c r="K60" s="74">
        <v>1966</v>
      </c>
      <c r="L60" s="69"/>
      <c r="M60" s="69"/>
      <c r="N60" s="75"/>
      <c r="O60" s="196" t="str">
        <f>$O$11</f>
        <v>한국어</v>
      </c>
      <c r="P60" s="187" t="s">
        <v>249</v>
      </c>
      <c r="Q60" s="220" t="s">
        <v>662</v>
      </c>
      <c r="R60" s="220" t="s">
        <v>251</v>
      </c>
      <c r="S60" s="220" t="s">
        <v>252</v>
      </c>
      <c r="T60" s="220" t="s">
        <v>253</v>
      </c>
      <c r="U60" s="220" t="s">
        <v>187</v>
      </c>
      <c r="V60" s="220" t="s">
        <v>217</v>
      </c>
      <c r="W60" s="220" t="s">
        <v>254</v>
      </c>
      <c r="X60" s="220" t="s">
        <v>255</v>
      </c>
      <c r="Y60" s="220" t="s">
        <v>256</v>
      </c>
      <c r="Z60" s="220" t="s">
        <v>257</v>
      </c>
      <c r="AA60" s="220" t="s">
        <v>258</v>
      </c>
      <c r="AB60" s="220" t="s">
        <v>259</v>
      </c>
      <c r="AC60" s="220" t="s">
        <v>260</v>
      </c>
      <c r="AD60" s="220" t="s">
        <v>261</v>
      </c>
      <c r="AE60" s="220" t="s">
        <v>262</v>
      </c>
      <c r="AF60" s="220" t="s">
        <v>263</v>
      </c>
      <c r="AG60" s="220" t="s">
        <v>264</v>
      </c>
      <c r="AH60" s="220" t="s">
        <v>265</v>
      </c>
      <c r="AI60" s="220" t="s">
        <v>266</v>
      </c>
      <c r="AJ60" s="220" t="s">
        <v>267</v>
      </c>
      <c r="AK60" s="220" t="s">
        <v>268</v>
      </c>
      <c r="AL60" s="220" t="s">
        <v>269</v>
      </c>
      <c r="AM60" s="220" t="s">
        <v>270</v>
      </c>
      <c r="AN60" s="242" t="s">
        <v>663</v>
      </c>
      <c r="AO60" s="220" t="s">
        <v>272</v>
      </c>
      <c r="AP60" s="220" t="s">
        <v>273</v>
      </c>
      <c r="AQ60" s="220" t="s">
        <v>274</v>
      </c>
      <c r="AR60" s="220" t="s">
        <v>275</v>
      </c>
      <c r="AS60" s="220" t="s">
        <v>276</v>
      </c>
      <c r="AT60" s="220" t="s">
        <v>277</v>
      </c>
      <c r="AU60" s="220" t="s">
        <v>278</v>
      </c>
      <c r="AV60" s="220" t="s">
        <v>279</v>
      </c>
      <c r="AW60" s="220" t="s">
        <v>463</v>
      </c>
      <c r="AX60" s="220" t="s">
        <v>464</v>
      </c>
      <c r="AY60" s="220" t="s">
        <v>465</v>
      </c>
      <c r="AZ60" s="220" t="s">
        <v>466</v>
      </c>
      <c r="BA60" s="220" t="s">
        <v>467</v>
      </c>
      <c r="BB60" s="220" t="s">
        <v>468</v>
      </c>
      <c r="BC60" s="220" t="s">
        <v>409</v>
      </c>
      <c r="BD60" s="220" t="s">
        <v>410</v>
      </c>
      <c r="BE60" s="220" t="s">
        <v>411</v>
      </c>
      <c r="BF60" s="220" t="s">
        <v>412</v>
      </c>
      <c r="BG60" s="220" t="s">
        <v>265</v>
      </c>
      <c r="BH60" s="220" t="s">
        <v>413</v>
      </c>
      <c r="BI60" s="220" t="s">
        <v>414</v>
      </c>
      <c r="BJ60" s="220" t="s">
        <v>415</v>
      </c>
      <c r="BK60" s="220" t="s">
        <v>416</v>
      </c>
      <c r="BL60" s="220" t="s">
        <v>417</v>
      </c>
      <c r="BM60" s="220" t="s">
        <v>418</v>
      </c>
      <c r="BN60" s="220" t="s">
        <v>419</v>
      </c>
      <c r="BO60" s="220" t="s">
        <v>664</v>
      </c>
      <c r="BP60" s="220" t="s">
        <v>421</v>
      </c>
      <c r="BQ60" s="220" t="s">
        <v>422</v>
      </c>
      <c r="BR60" s="220" t="s">
        <v>423</v>
      </c>
      <c r="BS60" s="220" t="s">
        <v>555</v>
      </c>
      <c r="BT60" s="220" t="s">
        <v>556</v>
      </c>
      <c r="BU60" s="220" t="s">
        <v>557</v>
      </c>
      <c r="BV60" s="220" t="s">
        <v>558</v>
      </c>
      <c r="BW60" s="220" t="s">
        <v>559</v>
      </c>
      <c r="BX60" s="220" t="s">
        <v>560</v>
      </c>
      <c r="BY60" s="220" t="s">
        <v>266</v>
      </c>
      <c r="BZ60" s="220" t="s">
        <v>561</v>
      </c>
      <c r="CA60" s="220" t="s">
        <v>562</v>
      </c>
      <c r="CB60" s="220" t="s">
        <v>563</v>
      </c>
      <c r="CC60" s="220" t="s">
        <v>564</v>
      </c>
      <c r="CD60" s="220" t="s">
        <v>502</v>
      </c>
      <c r="CE60" s="220" t="s">
        <v>503</v>
      </c>
      <c r="CF60" s="220" t="s">
        <v>504</v>
      </c>
      <c r="CG60" s="220" t="s">
        <v>505</v>
      </c>
      <c r="CH60" s="220" t="s">
        <v>276</v>
      </c>
      <c r="CI60" s="220" t="s">
        <v>506</v>
      </c>
      <c r="CJ60" s="220" t="s">
        <v>507</v>
      </c>
      <c r="CK60" s="220" t="s">
        <v>508</v>
      </c>
      <c r="CL60" s="220"/>
      <c r="CM60" s="220" t="s">
        <v>337</v>
      </c>
      <c r="CN60" s="220" t="s">
        <v>338</v>
      </c>
      <c r="CO60" s="220" t="s">
        <v>339</v>
      </c>
      <c r="CP60" s="220" t="s">
        <v>665</v>
      </c>
      <c r="CQ60" s="220" t="s">
        <v>666</v>
      </c>
      <c r="CR60" s="246" t="s">
        <v>667</v>
      </c>
      <c r="CS60" s="69" t="s">
        <v>668</v>
      </c>
      <c r="CT60" s="248" t="s">
        <v>669</v>
      </c>
      <c r="CU60" s="249" t="s">
        <v>670</v>
      </c>
    </row>
    <row r="61" spans="1:99" ht="16.5" customHeight="1">
      <c r="A61" s="1916"/>
      <c r="B61" s="95" t="s">
        <v>143</v>
      </c>
      <c r="C61" s="105" t="s">
        <v>671</v>
      </c>
      <c r="D61" s="134"/>
      <c r="E61" s="1874"/>
      <c r="F61" s="175" t="s">
        <v>672</v>
      </c>
      <c r="G61" s="176" t="s">
        <v>672</v>
      </c>
      <c r="H61" s="177" t="s">
        <v>673</v>
      </c>
      <c r="I61" s="215" t="s">
        <v>674</v>
      </c>
      <c r="K61" s="74">
        <v>1965</v>
      </c>
      <c r="L61" s="69"/>
      <c r="M61" s="69"/>
      <c r="N61" s="75"/>
      <c r="O61" s="197" t="str">
        <f>$O$12</f>
        <v>日本語</v>
      </c>
      <c r="P61" s="198"/>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7"/>
      <c r="AP61" s="237"/>
      <c r="AQ61" s="237"/>
      <c r="AR61" s="237"/>
      <c r="AS61" s="237"/>
      <c r="AT61" s="237"/>
      <c r="AU61" s="237"/>
      <c r="AV61" s="237"/>
      <c r="AW61" s="237"/>
      <c r="AX61" s="237"/>
      <c r="AY61" s="237"/>
      <c r="AZ61" s="237"/>
      <c r="BA61" s="237"/>
      <c r="BB61" s="237"/>
      <c r="BC61" s="237"/>
      <c r="BD61" s="237"/>
      <c r="BE61" s="237"/>
      <c r="BF61" s="237"/>
      <c r="BG61" s="237"/>
      <c r="BH61" s="237"/>
      <c r="BI61" s="237"/>
      <c r="BJ61" s="237"/>
      <c r="BK61" s="237"/>
      <c r="BL61" s="237"/>
      <c r="BM61" s="237"/>
      <c r="BN61" s="237"/>
      <c r="BO61" s="237"/>
      <c r="BP61" s="237"/>
      <c r="BQ61" s="237"/>
      <c r="BR61" s="237"/>
      <c r="BS61" s="237"/>
      <c r="BT61" s="237"/>
      <c r="BU61" s="237"/>
      <c r="BV61" s="237"/>
      <c r="BW61" s="237"/>
      <c r="BX61" s="237"/>
      <c r="BY61" s="237"/>
      <c r="BZ61" s="237"/>
      <c r="CA61" s="237"/>
      <c r="CB61" s="237"/>
      <c r="CC61" s="237"/>
      <c r="CD61" s="237"/>
      <c r="CE61" s="237"/>
      <c r="CF61" s="237"/>
      <c r="CG61" s="237"/>
      <c r="CH61" s="237"/>
      <c r="CI61" s="237"/>
      <c r="CJ61" s="237"/>
      <c r="CK61" s="237"/>
      <c r="CL61" s="237"/>
      <c r="CM61" s="237"/>
      <c r="CN61" s="237"/>
      <c r="CO61" s="237"/>
      <c r="CP61" s="237"/>
      <c r="CQ61" s="237"/>
      <c r="CR61" s="238"/>
      <c r="CS61" s="69" t="s">
        <v>630</v>
      </c>
    </row>
    <row r="62" spans="1:99" ht="16.5" customHeight="1">
      <c r="A62" s="1917"/>
      <c r="B62" s="97" t="s">
        <v>146</v>
      </c>
      <c r="C62" s="115" t="s">
        <v>675</v>
      </c>
      <c r="E62" s="1874"/>
      <c r="F62" s="178" t="s">
        <v>676</v>
      </c>
      <c r="G62" s="132" t="s">
        <v>677</v>
      </c>
      <c r="H62" s="179" t="s">
        <v>678</v>
      </c>
      <c r="I62" s="216" t="s">
        <v>679</v>
      </c>
      <c r="K62" s="74">
        <v>1964</v>
      </c>
      <c r="L62" s="69"/>
      <c r="M62" s="69"/>
      <c r="N62" s="75"/>
      <c r="O62" s="71"/>
      <c r="P62" s="71"/>
      <c r="Q62" s="69"/>
      <c r="R62" s="69"/>
    </row>
    <row r="63" spans="1:99" ht="16.5" customHeight="1">
      <c r="A63" s="1918" t="s">
        <v>680</v>
      </c>
      <c r="B63" s="101" t="s">
        <v>134</v>
      </c>
      <c r="C63" s="102" t="s">
        <v>681</v>
      </c>
      <c r="E63" s="1874"/>
      <c r="F63" s="180" t="s">
        <v>682</v>
      </c>
      <c r="G63" s="121" t="s">
        <v>683</v>
      </c>
      <c r="H63" s="181" t="s">
        <v>684</v>
      </c>
      <c r="I63" s="217" t="s">
        <v>685</v>
      </c>
      <c r="K63" s="74">
        <v>1963</v>
      </c>
      <c r="L63" s="69"/>
      <c r="M63" s="69"/>
      <c r="N63" s="75"/>
      <c r="O63" s="1960" t="s">
        <v>686</v>
      </c>
      <c r="P63" s="1961"/>
      <c r="Q63" s="1961"/>
      <c r="R63" s="1961"/>
      <c r="S63" s="1961"/>
      <c r="T63" s="1961"/>
      <c r="U63" s="1961"/>
      <c r="V63" s="1961"/>
      <c r="W63" s="1961"/>
      <c r="X63" s="1961"/>
      <c r="Y63" s="1961"/>
      <c r="Z63" s="1961"/>
      <c r="AA63" s="1961"/>
      <c r="AB63" s="1962"/>
    </row>
    <row r="64" spans="1:99" ht="16.5" customHeight="1">
      <c r="A64" s="1916"/>
      <c r="B64" s="88" t="s">
        <v>0</v>
      </c>
      <c r="C64" s="89" t="s">
        <v>687</v>
      </c>
      <c r="E64" s="1874"/>
      <c r="F64" s="180" t="s">
        <v>688</v>
      </c>
      <c r="G64" s="121" t="s">
        <v>689</v>
      </c>
      <c r="H64" s="181" t="s">
        <v>690</v>
      </c>
      <c r="I64" s="217" t="s">
        <v>691</v>
      </c>
      <c r="K64" s="74">
        <v>1962</v>
      </c>
      <c r="L64" s="69"/>
      <c r="M64" s="69"/>
      <c r="N64" s="75"/>
      <c r="O64" s="193" t="str">
        <f>$O$8</f>
        <v>Việt Nam</v>
      </c>
      <c r="P64" s="185" t="s">
        <v>692</v>
      </c>
      <c r="Q64" s="219" t="s">
        <v>693</v>
      </c>
      <c r="R64" s="219" t="s">
        <v>694</v>
      </c>
      <c r="S64" s="219" t="s">
        <v>695</v>
      </c>
      <c r="T64" s="219" t="s">
        <v>696</v>
      </c>
      <c r="U64" s="219" t="s">
        <v>697</v>
      </c>
      <c r="V64" s="219" t="s">
        <v>698</v>
      </c>
      <c r="W64" s="219" t="s">
        <v>699</v>
      </c>
      <c r="X64" s="219" t="s">
        <v>700</v>
      </c>
      <c r="Y64" s="219" t="s">
        <v>701</v>
      </c>
      <c r="Z64" s="219" t="s">
        <v>702</v>
      </c>
      <c r="AA64" s="219" t="str">
        <f>"Tôi "&amp;STUDENTNAME&amp;" cam kết những điều trên là đúng sự thật, Xác nhận của người đã viết đơn."</f>
        <v>Tôi  cam kết những điều trên là đúng sự thật, Xác nhận của người đã viết đơn.</v>
      </c>
      <c r="AB64" s="240" t="s">
        <v>616</v>
      </c>
      <c r="AC64" s="69" t="s">
        <v>703</v>
      </c>
      <c r="AD64" s="69" t="s">
        <v>704</v>
      </c>
      <c r="AE64" s="69" t="s">
        <v>705</v>
      </c>
      <c r="AF64" s="69" t="s">
        <v>704</v>
      </c>
      <c r="AG64" s="69" t="s">
        <v>706</v>
      </c>
      <c r="AH64" s="69" t="s">
        <v>707</v>
      </c>
    </row>
    <row r="65" spans="1:92" ht="16.5" customHeight="1">
      <c r="A65" s="1916"/>
      <c r="B65" s="92" t="s">
        <v>140</v>
      </c>
      <c r="C65" s="93" t="s">
        <v>708</v>
      </c>
      <c r="E65" s="1874"/>
      <c r="F65" s="180" t="s">
        <v>709</v>
      </c>
      <c r="G65" s="121" t="s">
        <v>710</v>
      </c>
      <c r="H65" s="181" t="s">
        <v>690</v>
      </c>
      <c r="I65" s="217" t="s">
        <v>691</v>
      </c>
      <c r="K65" s="74">
        <v>1961</v>
      </c>
      <c r="L65" s="69"/>
      <c r="M65" s="69"/>
      <c r="N65" s="75"/>
      <c r="O65" s="194" t="str">
        <f>$O$9</f>
        <v>中国</v>
      </c>
      <c r="P65" s="187" t="s">
        <v>711</v>
      </c>
      <c r="Q65" s="220" t="s">
        <v>712</v>
      </c>
      <c r="R65" s="220" t="s">
        <v>713</v>
      </c>
      <c r="S65" s="220" t="s">
        <v>714</v>
      </c>
      <c r="T65" s="220" t="s">
        <v>715</v>
      </c>
      <c r="U65" s="220" t="s">
        <v>716</v>
      </c>
      <c r="V65" s="220" t="s">
        <v>717</v>
      </c>
      <c r="W65" s="220" t="s">
        <v>718</v>
      </c>
      <c r="X65" s="220" t="s">
        <v>719</v>
      </c>
      <c r="Y65" s="220" t="s">
        <v>720</v>
      </c>
      <c r="Z65" s="220" t="s">
        <v>721</v>
      </c>
      <c r="AA65" s="220" t="str">
        <f>"以上情况属实，系"&amp;STUDENTNAME&amp;"填写"</f>
        <v>以上情况属实，系填写</v>
      </c>
      <c r="AB65" s="223" t="s">
        <v>629</v>
      </c>
      <c r="AC65" s="247" t="s">
        <v>722</v>
      </c>
      <c r="AD65" s="247" t="s">
        <v>723</v>
      </c>
      <c r="AE65" s="69" t="s">
        <v>724</v>
      </c>
      <c r="AF65" s="247" t="s">
        <v>725</v>
      </c>
      <c r="AG65" s="69" t="s">
        <v>726</v>
      </c>
      <c r="AH65" s="69" t="s">
        <v>727</v>
      </c>
    </row>
    <row r="66" spans="1:92" ht="16.5" customHeight="1">
      <c r="A66" s="1916"/>
      <c r="B66" s="95" t="s">
        <v>143</v>
      </c>
      <c r="C66" s="105" t="s">
        <v>728</v>
      </c>
      <c r="E66" s="1874"/>
      <c r="F66" s="180" t="s">
        <v>729</v>
      </c>
      <c r="G66" s="121" t="s">
        <v>730</v>
      </c>
      <c r="H66" s="181" t="s">
        <v>731</v>
      </c>
      <c r="I66" s="217" t="s">
        <v>732</v>
      </c>
      <c r="K66" s="74">
        <v>1960</v>
      </c>
      <c r="L66" s="69"/>
      <c r="M66" s="69"/>
      <c r="N66" s="75"/>
      <c r="O66" s="195" t="str">
        <f>$O$10</f>
        <v>English</v>
      </c>
      <c r="P66" s="187" t="s">
        <v>733</v>
      </c>
      <c r="Q66" s="220" t="s">
        <v>734</v>
      </c>
      <c r="R66" s="220" t="s">
        <v>735</v>
      </c>
      <c r="S66" s="220" t="s">
        <v>736</v>
      </c>
      <c r="T66" s="220" t="s">
        <v>737</v>
      </c>
      <c r="U66" s="220" t="s">
        <v>738</v>
      </c>
      <c r="V66" s="220" t="s">
        <v>739</v>
      </c>
      <c r="W66" s="220" t="s">
        <v>740</v>
      </c>
      <c r="X66" s="220" t="s">
        <v>741</v>
      </c>
      <c r="Y66" s="220" t="s">
        <v>742</v>
      </c>
      <c r="Z66" s="220" t="s">
        <v>743</v>
      </c>
      <c r="AA66" s="220" t="str">
        <f>"The above contents and information I, "&amp;STUDENTNAME&amp;" have written by myself only."</f>
        <v>The above contents and information I,  have written by myself only.</v>
      </c>
      <c r="AB66" s="223" t="s">
        <v>653</v>
      </c>
      <c r="AC66" s="69" t="s">
        <v>744</v>
      </c>
      <c r="AD66" s="69" t="s">
        <v>745</v>
      </c>
      <c r="AE66" s="69" t="s">
        <v>746</v>
      </c>
      <c r="AF66" s="69" t="s">
        <v>747</v>
      </c>
      <c r="AG66" s="69" t="s">
        <v>748</v>
      </c>
      <c r="AH66" s="69" t="s">
        <v>749</v>
      </c>
    </row>
    <row r="67" spans="1:92" ht="16.5" customHeight="1">
      <c r="A67" s="1917"/>
      <c r="B67" s="97" t="s">
        <v>146</v>
      </c>
      <c r="C67" s="115" t="s">
        <v>750</v>
      </c>
      <c r="E67" s="1874"/>
      <c r="F67" s="180" t="s">
        <v>751</v>
      </c>
      <c r="G67" s="121" t="s">
        <v>752</v>
      </c>
      <c r="H67" s="181" t="s">
        <v>753</v>
      </c>
      <c r="I67" s="217" t="s">
        <v>754</v>
      </c>
      <c r="K67" s="74">
        <v>1959</v>
      </c>
      <c r="L67" s="69"/>
      <c r="M67" s="69"/>
      <c r="N67" s="75"/>
      <c r="O67" s="196" t="str">
        <f>$O$11</f>
        <v>한국어</v>
      </c>
      <c r="P67" s="187" t="s">
        <v>755</v>
      </c>
      <c r="Q67" s="220" t="s">
        <v>756</v>
      </c>
      <c r="R67" s="220" t="s">
        <v>757</v>
      </c>
      <c r="S67" s="220" t="s">
        <v>758</v>
      </c>
      <c r="T67" s="220" t="s">
        <v>759</v>
      </c>
      <c r="U67" s="220" t="s">
        <v>760</v>
      </c>
      <c r="V67" s="220" t="s">
        <v>761</v>
      </c>
      <c r="W67" s="221" t="s">
        <v>762</v>
      </c>
      <c r="X67" s="221" t="s">
        <v>763</v>
      </c>
      <c r="Y67" s="220" t="s">
        <v>764</v>
      </c>
      <c r="Z67" s="220" t="s">
        <v>765</v>
      </c>
      <c r="AA67" s="220" t="str">
        <f>"이상의 정황은 사실이며 "&amp;STUDENTNAME&amp;" 가 작성했습니다 "</f>
        <v xml:space="preserve">이상의 정황은 사실이며  가 작성했습니다 </v>
      </c>
      <c r="AB67" s="223" t="s">
        <v>667</v>
      </c>
      <c r="AC67" s="248" t="s">
        <v>766</v>
      </c>
      <c r="AD67" s="340" t="s">
        <v>767</v>
      </c>
      <c r="AE67" s="69" t="s">
        <v>768</v>
      </c>
      <c r="AF67" s="341" t="s">
        <v>769</v>
      </c>
      <c r="AG67" s="341" t="s">
        <v>770</v>
      </c>
      <c r="AH67" s="249" t="s">
        <v>771</v>
      </c>
    </row>
    <row r="68" spans="1:92" ht="16.5" customHeight="1">
      <c r="E68" s="1874"/>
      <c r="F68" s="180" t="s">
        <v>772</v>
      </c>
      <c r="G68" s="121" t="s">
        <v>773</v>
      </c>
      <c r="H68" s="181" t="s">
        <v>774</v>
      </c>
      <c r="I68" s="217" t="s">
        <v>775</v>
      </c>
      <c r="K68" s="74">
        <v>1958</v>
      </c>
      <c r="L68" s="69"/>
      <c r="M68" s="69"/>
      <c r="N68" s="75"/>
      <c r="O68" s="197" t="str">
        <f>$O$12</f>
        <v>日本語</v>
      </c>
      <c r="P68" s="198"/>
      <c r="Q68" s="237"/>
      <c r="R68" s="237"/>
      <c r="S68" s="237"/>
      <c r="T68" s="237"/>
      <c r="U68" s="237"/>
      <c r="V68" s="237"/>
      <c r="W68" s="237"/>
      <c r="X68" s="237"/>
      <c r="Y68" s="237"/>
      <c r="Z68" s="237"/>
      <c r="AA68" s="237"/>
      <c r="AB68" s="238"/>
    </row>
    <row r="69" spans="1:92" ht="16.5" customHeight="1">
      <c r="E69" s="1874"/>
      <c r="F69" s="180" t="s">
        <v>776</v>
      </c>
      <c r="G69" s="121" t="s">
        <v>777</v>
      </c>
      <c r="H69" s="181" t="s">
        <v>778</v>
      </c>
      <c r="I69" s="217" t="s">
        <v>685</v>
      </c>
      <c r="K69" s="74">
        <v>1957</v>
      </c>
      <c r="L69" s="69"/>
      <c r="M69" s="69"/>
      <c r="N69" s="75"/>
      <c r="O69" s="71"/>
      <c r="P69" s="71"/>
      <c r="Q69" s="69"/>
      <c r="R69" s="69"/>
    </row>
    <row r="70" spans="1:92" ht="16.5" customHeight="1">
      <c r="A70" s="1816" t="s">
        <v>779</v>
      </c>
      <c r="B70" s="1963"/>
      <c r="C70" s="1964"/>
      <c r="E70" s="1874"/>
      <c r="F70" s="180" t="s">
        <v>780</v>
      </c>
      <c r="G70" s="121" t="s">
        <v>781</v>
      </c>
      <c r="H70" s="181" t="s">
        <v>782</v>
      </c>
      <c r="I70" s="217" t="s">
        <v>783</v>
      </c>
      <c r="K70" s="74">
        <v>1956</v>
      </c>
      <c r="L70" s="69"/>
      <c r="M70" s="69"/>
      <c r="N70" s="75"/>
      <c r="O70" s="71"/>
      <c r="P70" s="183">
        <v>2</v>
      </c>
      <c r="Q70" s="218">
        <v>3</v>
      </c>
      <c r="R70" s="183">
        <v>4</v>
      </c>
      <c r="S70" s="218">
        <v>5</v>
      </c>
      <c r="T70" s="183">
        <v>6</v>
      </c>
      <c r="U70" s="218">
        <v>7</v>
      </c>
      <c r="V70" s="183">
        <v>8</v>
      </c>
      <c r="W70" s="218">
        <v>9</v>
      </c>
      <c r="X70" s="183">
        <v>10</v>
      </c>
      <c r="Y70" s="218">
        <v>11</v>
      </c>
      <c r="Z70" s="183">
        <v>12</v>
      </c>
      <c r="AA70" s="218">
        <v>13</v>
      </c>
      <c r="AB70" s="183">
        <v>14</v>
      </c>
      <c r="AC70" s="218">
        <v>15</v>
      </c>
      <c r="AD70" s="183">
        <v>16</v>
      </c>
      <c r="AE70" s="218">
        <v>17</v>
      </c>
      <c r="AF70" s="183">
        <v>18</v>
      </c>
    </row>
    <row r="71" spans="1:92" ht="16.5" customHeight="1">
      <c r="A71" s="1966" t="s">
        <v>369</v>
      </c>
      <c r="B71" s="250" t="str">
        <f>DATA!X8</f>
        <v>Có</v>
      </c>
      <c r="C71" s="251" t="s">
        <v>69</v>
      </c>
      <c r="E71" s="1874"/>
      <c r="F71" s="180" t="s">
        <v>784</v>
      </c>
      <c r="G71" s="121" t="s">
        <v>785</v>
      </c>
      <c r="H71" s="181" t="s">
        <v>690</v>
      </c>
      <c r="I71" s="217" t="s">
        <v>786</v>
      </c>
      <c r="K71" s="74">
        <v>1955</v>
      </c>
      <c r="L71" s="69"/>
      <c r="M71" s="69"/>
      <c r="N71" s="75"/>
      <c r="O71" s="1957" t="s">
        <v>787</v>
      </c>
      <c r="P71" s="1958"/>
      <c r="Q71" s="1958"/>
      <c r="R71" s="1958"/>
      <c r="S71" s="1958"/>
      <c r="T71" s="1958"/>
      <c r="U71" s="1958"/>
      <c r="V71" s="1958"/>
      <c r="W71" s="1958"/>
      <c r="X71" s="1958"/>
      <c r="Y71" s="1958"/>
      <c r="Z71" s="1958"/>
      <c r="AA71" s="1958"/>
      <c r="AB71" s="1958"/>
      <c r="AC71" s="1958"/>
      <c r="AD71" s="1958"/>
      <c r="AE71" s="1958"/>
      <c r="AF71" s="1959"/>
      <c r="CN71" s="342"/>
    </row>
    <row r="72" spans="1:92" ht="16.5" customHeight="1">
      <c r="A72" s="1967"/>
      <c r="B72" s="252" t="str">
        <f>DATA!Y8</f>
        <v>Không</v>
      </c>
      <c r="C72" s="203" t="s">
        <v>70</v>
      </c>
      <c r="E72" s="1874"/>
      <c r="F72" s="180" t="s">
        <v>788</v>
      </c>
      <c r="G72" s="121" t="s">
        <v>789</v>
      </c>
      <c r="H72" s="181" t="s">
        <v>790</v>
      </c>
      <c r="I72" s="217" t="s">
        <v>791</v>
      </c>
      <c r="K72" s="74">
        <v>1954</v>
      </c>
      <c r="L72" s="69"/>
      <c r="M72" s="69"/>
      <c r="N72" s="75"/>
      <c r="O72" s="193" t="str">
        <f>$O$8</f>
        <v>Việt Nam</v>
      </c>
      <c r="P72" s="268" t="s">
        <v>792</v>
      </c>
      <c r="Q72" s="285" t="s">
        <v>793</v>
      </c>
      <c r="R72" s="229" t="s">
        <v>794</v>
      </c>
      <c r="S72" s="229" t="s">
        <v>795</v>
      </c>
      <c r="T72" s="229" t="s">
        <v>792</v>
      </c>
      <c r="U72" s="229" t="s">
        <v>796</v>
      </c>
      <c r="V72" s="229" t="str">
        <f>"Tôi "&amp;SPONSORNAME&amp;" là người bảo lãnh cho học sinh khi học và sinh sống tại Nhật Bản. "</f>
        <v xml:space="preserve">Tôi  là người bảo lãnh cho học sinh khi học và sinh sống tại Nhật Bản. </v>
      </c>
      <c r="W72" s="229" t="s">
        <v>797</v>
      </c>
      <c r="X72" s="229" t="s">
        <v>798</v>
      </c>
      <c r="Y72" s="229" t="s">
        <v>799</v>
      </c>
      <c r="Z72" s="229" t="s">
        <v>800</v>
      </c>
      <c r="AA72" s="229" t="s">
        <v>801</v>
      </c>
      <c r="AB72" s="229" t="s">
        <v>802</v>
      </c>
      <c r="AC72" s="229" t="s">
        <v>799</v>
      </c>
      <c r="AD72" s="229" t="s">
        <v>803</v>
      </c>
      <c r="AE72" s="229" t="s">
        <v>804</v>
      </c>
      <c r="AF72" s="226" t="s">
        <v>805</v>
      </c>
    </row>
    <row r="73" spans="1:92" ht="16.5" customHeight="1">
      <c r="A73" s="1968" t="s">
        <v>429</v>
      </c>
      <c r="B73" s="253" t="str">
        <f>DATA!X9</f>
        <v>是</v>
      </c>
      <c r="C73" s="254" t="s">
        <v>69</v>
      </c>
      <c r="E73" s="1874"/>
      <c r="F73" s="180" t="s">
        <v>806</v>
      </c>
      <c r="G73" s="121" t="s">
        <v>807</v>
      </c>
      <c r="H73" s="181" t="s">
        <v>808</v>
      </c>
      <c r="I73" s="217" t="s">
        <v>809</v>
      </c>
      <c r="K73" s="74">
        <v>1953</v>
      </c>
      <c r="L73" s="69"/>
      <c r="M73" s="69"/>
      <c r="N73" s="75"/>
      <c r="O73" s="194" t="str">
        <f>$O$9</f>
        <v>中国</v>
      </c>
      <c r="P73" s="269" t="s">
        <v>810</v>
      </c>
      <c r="Q73" s="690" t="s">
        <v>1869</v>
      </c>
      <c r="R73" s="220" t="s">
        <v>811</v>
      </c>
      <c r="S73" s="220" t="s">
        <v>812</v>
      </c>
      <c r="T73" s="220" t="s">
        <v>813</v>
      </c>
      <c r="U73" s="220" t="s">
        <v>814</v>
      </c>
      <c r="V73" s="220" t="str">
        <f>"我"&amp;SPONSORNAME&amp;"按照下述方式支付上述申请者在日逗留期间的费用。"</f>
        <v>我按照下述方式支付上述申请者在日逗留期间的费用。</v>
      </c>
      <c r="W73" s="220" t="s">
        <v>815</v>
      </c>
      <c r="X73" s="220" t="s">
        <v>816</v>
      </c>
      <c r="Y73" s="220" t="s">
        <v>817</v>
      </c>
      <c r="Z73" s="220" t="s">
        <v>818</v>
      </c>
      <c r="AA73" s="220" t="s">
        <v>819</v>
      </c>
      <c r="AB73" s="220" t="s">
        <v>820</v>
      </c>
      <c r="AC73" s="220" t="s">
        <v>817</v>
      </c>
      <c r="AD73" s="220" t="s">
        <v>821</v>
      </c>
      <c r="AE73" s="220" t="s">
        <v>822</v>
      </c>
      <c r="AF73" s="223" t="s">
        <v>823</v>
      </c>
    </row>
    <row r="74" spans="1:92" ht="16.5" customHeight="1">
      <c r="A74" s="1969"/>
      <c r="B74" s="252" t="str">
        <f>DATA!Y9</f>
        <v>否</v>
      </c>
      <c r="C74" s="203" t="s">
        <v>70</v>
      </c>
      <c r="E74" s="1874"/>
      <c r="F74" s="180" t="s">
        <v>824</v>
      </c>
      <c r="G74" s="121" t="s">
        <v>825</v>
      </c>
      <c r="H74" s="181" t="s">
        <v>690</v>
      </c>
      <c r="I74" s="217" t="s">
        <v>826</v>
      </c>
      <c r="K74" s="74">
        <v>1952</v>
      </c>
      <c r="L74" s="69"/>
      <c r="M74" s="69"/>
      <c r="N74" s="75"/>
      <c r="O74" s="195" t="str">
        <f>$O$10</f>
        <v>English</v>
      </c>
      <c r="P74" s="269" t="e">
        <f>IF(SPONSORRELATIONSHIP="Myself","I will be self supporting my own application using funds I have saved in my bank account.","I feel it is important to support my family in their studies and dreams. Therefore I will fully support "&amp;O119&amp;" studies in Japan.")</f>
        <v>#N/A</v>
      </c>
      <c r="Q74" s="181" t="e">
        <f>IF(SPONSORRELATIONSHIP="Myself","I will remit one year's tuition fee to the school's bank once my Certificate of Eligibility has been granted.","I will remit one year's tuition fee to the school's bank account and send monthly financial support to "&amp;O119&amp;" bank account.")</f>
        <v>#N/A</v>
      </c>
      <c r="R74" s="220" t="s">
        <v>827</v>
      </c>
      <c r="S74" s="220" t="s">
        <v>828</v>
      </c>
      <c r="T74" s="220" t="s">
        <v>829</v>
      </c>
      <c r="U74" s="220" t="s">
        <v>830</v>
      </c>
      <c r="V74" s="220" t="str">
        <f>"I, "&amp;SPONSORNAME&amp;" hereby will cover expenses for the applicant's stay in Japan as follows."</f>
        <v>I,  hereby will cover expenses for the applicant's stay in Japan as follows.</v>
      </c>
      <c r="W74" s="220" t="s">
        <v>831</v>
      </c>
      <c r="X74" s="220" t="s">
        <v>832</v>
      </c>
      <c r="Y74" s="220" t="s">
        <v>833</v>
      </c>
      <c r="Z74" s="220" t="s">
        <v>834</v>
      </c>
      <c r="AA74" s="220" t="s">
        <v>835</v>
      </c>
      <c r="AB74" s="220" t="s">
        <v>836</v>
      </c>
      <c r="AC74" s="220" t="s">
        <v>833</v>
      </c>
      <c r="AD74" s="220" t="s">
        <v>837</v>
      </c>
      <c r="AE74" s="220" t="s">
        <v>838</v>
      </c>
      <c r="AF74" s="223" t="s">
        <v>839</v>
      </c>
    </row>
    <row r="75" spans="1:92" ht="16.5" customHeight="1">
      <c r="A75" s="1970" t="s">
        <v>441</v>
      </c>
      <c r="B75" s="253" t="str">
        <f>DATA!X10</f>
        <v>Yes</v>
      </c>
      <c r="C75" s="254" t="s">
        <v>69</v>
      </c>
      <c r="E75" s="1874"/>
      <c r="F75" s="180" t="s">
        <v>840</v>
      </c>
      <c r="G75" s="121" t="s">
        <v>841</v>
      </c>
      <c r="H75" s="181" t="s">
        <v>842</v>
      </c>
      <c r="I75" s="217" t="s">
        <v>843</v>
      </c>
      <c r="K75" s="74">
        <v>1951</v>
      </c>
      <c r="L75" s="69"/>
      <c r="M75" s="69"/>
      <c r="N75" s="75"/>
      <c r="O75" s="196" t="str">
        <f>$O$11</f>
        <v>한국어</v>
      </c>
      <c r="P75" s="269" t="s">
        <v>844</v>
      </c>
      <c r="Q75" s="181" t="s">
        <v>845</v>
      </c>
      <c r="R75" s="220" t="s">
        <v>846</v>
      </c>
      <c r="S75" s="220" t="s">
        <v>847</v>
      </c>
      <c r="T75" s="220" t="s">
        <v>848</v>
      </c>
      <c r="U75" s="220" t="s">
        <v>849</v>
      </c>
      <c r="V75" s="220" t="str">
        <f>"저 "&amp;SPONSORNAME&amp;" 은 상기인의 일본국 체재에 대해서 하기와 같이 경비를 지변할것을 증명합니다."</f>
        <v>저  은 상기인의 일본국 체재에 대해서 하기와 같이 경비를 지변할것을 증명합니다.</v>
      </c>
      <c r="W75" s="220" t="s">
        <v>850</v>
      </c>
      <c r="X75" s="220" t="s">
        <v>851</v>
      </c>
      <c r="Y75" s="220" t="s">
        <v>852</v>
      </c>
      <c r="Z75" s="220" t="s">
        <v>853</v>
      </c>
      <c r="AA75" s="220" t="s">
        <v>854</v>
      </c>
      <c r="AB75" s="220" t="s">
        <v>855</v>
      </c>
      <c r="AC75" s="220" t="s">
        <v>852</v>
      </c>
      <c r="AD75" s="220" t="s">
        <v>856</v>
      </c>
      <c r="AE75" s="220" t="s">
        <v>857</v>
      </c>
      <c r="AF75" s="223" t="s">
        <v>858</v>
      </c>
    </row>
    <row r="76" spans="1:92" ht="16.5" customHeight="1">
      <c r="A76" s="1971"/>
      <c r="B76" s="252" t="str">
        <f>DATA!Y10</f>
        <v>No</v>
      </c>
      <c r="C76" s="203" t="s">
        <v>70</v>
      </c>
      <c r="E76" s="1874"/>
      <c r="F76" s="180" t="s">
        <v>859</v>
      </c>
      <c r="G76" s="121" t="s">
        <v>860</v>
      </c>
      <c r="H76" s="181" t="s">
        <v>861</v>
      </c>
      <c r="I76" s="217" t="s">
        <v>685</v>
      </c>
      <c r="K76" s="74">
        <v>1950</v>
      </c>
      <c r="L76" s="69"/>
      <c r="M76" s="69"/>
      <c r="N76" s="75"/>
      <c r="O76" s="197" t="str">
        <f>$O$12</f>
        <v>日本語</v>
      </c>
      <c r="P76" s="270"/>
      <c r="Q76" s="286"/>
      <c r="R76" s="237"/>
      <c r="S76" s="237"/>
      <c r="T76" s="237"/>
      <c r="U76" s="237"/>
      <c r="V76" s="237"/>
      <c r="W76" s="237"/>
      <c r="X76" s="237"/>
      <c r="Y76" s="237"/>
      <c r="Z76" s="237"/>
      <c r="AA76" s="237"/>
      <c r="AB76" s="237"/>
      <c r="AC76" s="237"/>
      <c r="AD76" s="237"/>
      <c r="AE76" s="237"/>
      <c r="AF76" s="238"/>
    </row>
    <row r="77" spans="1:92" ht="16.5" customHeight="1">
      <c r="A77" s="1972" t="s">
        <v>462</v>
      </c>
      <c r="B77" s="253" t="str">
        <f>DATA!X11</f>
        <v>있음</v>
      </c>
      <c r="C77" s="254" t="s">
        <v>69</v>
      </c>
      <c r="E77" s="1874"/>
      <c r="F77" s="180" t="s">
        <v>862</v>
      </c>
      <c r="G77" s="121" t="s">
        <v>863</v>
      </c>
      <c r="H77" s="181" t="s">
        <v>864</v>
      </c>
      <c r="I77" s="217" t="s">
        <v>865</v>
      </c>
      <c r="K77" s="74">
        <v>1949</v>
      </c>
      <c r="L77" s="69"/>
      <c r="M77" s="69"/>
      <c r="N77" s="75"/>
      <c r="O77" s="271" t="s">
        <v>866</v>
      </c>
      <c r="P77" s="272" t="str">
        <f>IF(SPONSORRELATIONSHIP="Myself","","私は上記申請者の保護者として、子供の日本留学を支持、支援します。子供が日本に滞在中の学費及び生活費のすべての経費について責任を持って負担します。")</f>
        <v>私は上記申請者の保護者として、子供の日本留学を支持、支援します。子供が日本に滞在中の学費及び生活費のすべての経費について責任を持って負担します。</v>
      </c>
      <c r="Q77" s="287" t="str">
        <f>IF(SPONSORRELATIONSHIP="Myself","","学費は学校の銀行口座へ、生活費は子供が日本で開設する銀行口座へ振り込みます。")</f>
        <v>学費は学校の銀行口座へ、生活費は子供が日本で開設する銀行口座へ振り込みます。</v>
      </c>
      <c r="R77" s="69"/>
    </row>
    <row r="78" spans="1:92" ht="16.5" customHeight="1">
      <c r="A78" s="1973"/>
      <c r="B78" s="252" t="str">
        <f>DATA!Y11</f>
        <v xml:space="preserve">없음 </v>
      </c>
      <c r="C78" s="203" t="s">
        <v>70</v>
      </c>
      <c r="E78" s="1874"/>
      <c r="F78" s="180" t="s">
        <v>867</v>
      </c>
      <c r="G78" s="121" t="s">
        <v>868</v>
      </c>
      <c r="H78" s="181" t="s">
        <v>869</v>
      </c>
      <c r="I78" s="217" t="s">
        <v>870</v>
      </c>
      <c r="K78" s="74">
        <v>1948</v>
      </c>
      <c r="L78" s="69"/>
      <c r="M78" s="69"/>
      <c r="N78" s="75"/>
      <c r="O78" s="71"/>
      <c r="Q78" s="69"/>
      <c r="R78" s="69"/>
    </row>
    <row r="79" spans="1:92" ht="16.5" customHeight="1">
      <c r="A79" s="1974" t="s">
        <v>476</v>
      </c>
      <c r="B79" s="139" t="s">
        <v>69</v>
      </c>
      <c r="C79" s="254" t="s">
        <v>69</v>
      </c>
      <c r="E79" s="1874"/>
      <c r="F79" s="180" t="s">
        <v>871</v>
      </c>
      <c r="G79" s="121" t="s">
        <v>872</v>
      </c>
      <c r="H79" s="181" t="s">
        <v>873</v>
      </c>
      <c r="I79" s="217" t="s">
        <v>874</v>
      </c>
      <c r="K79" s="74">
        <v>1947</v>
      </c>
      <c r="L79" s="69"/>
      <c r="M79" s="69"/>
      <c r="N79" s="75"/>
      <c r="O79" s="71"/>
      <c r="Q79" s="69"/>
      <c r="R79" s="69"/>
    </row>
    <row r="80" spans="1:92" ht="16.5" customHeight="1">
      <c r="A80" s="1975"/>
      <c r="B80" s="255" t="s">
        <v>70</v>
      </c>
      <c r="C80" s="256" t="s">
        <v>70</v>
      </c>
      <c r="E80" s="1874"/>
      <c r="F80" s="180" t="s">
        <v>875</v>
      </c>
      <c r="G80" s="121" t="s">
        <v>876</v>
      </c>
      <c r="H80" s="181" t="s">
        <v>877</v>
      </c>
      <c r="I80" s="217" t="s">
        <v>878</v>
      </c>
      <c r="K80" s="74">
        <v>1946</v>
      </c>
      <c r="L80" s="69"/>
      <c r="M80" s="69"/>
      <c r="N80" s="75"/>
      <c r="O80" s="71"/>
      <c r="P80" s="71"/>
      <c r="Q80" s="69"/>
      <c r="R80" s="69"/>
      <c r="S80" s="70"/>
      <c r="T80" s="288" t="s">
        <v>879</v>
      </c>
      <c r="U80" s="289" t="s">
        <v>880</v>
      </c>
      <c r="V80" s="1965" t="s">
        <v>881</v>
      </c>
      <c r="W80" s="1965"/>
    </row>
    <row r="81" spans="5:23" ht="16.5" customHeight="1">
      <c r="E81" s="1874"/>
      <c r="F81" s="180" t="s">
        <v>882</v>
      </c>
      <c r="G81" s="121" t="s">
        <v>883</v>
      </c>
      <c r="H81" s="181" t="s">
        <v>884</v>
      </c>
      <c r="I81" s="217" t="s">
        <v>885</v>
      </c>
      <c r="K81" s="74">
        <v>1945</v>
      </c>
      <c r="L81" s="69"/>
      <c r="M81" s="69"/>
      <c r="N81" s="75"/>
      <c r="O81" s="228" t="s">
        <v>137</v>
      </c>
      <c r="P81" s="226" t="s">
        <v>137</v>
      </c>
      <c r="R81" s="1806" t="s">
        <v>886</v>
      </c>
      <c r="S81" s="290" t="s">
        <v>887</v>
      </c>
      <c r="T81" s="291" t="s">
        <v>888</v>
      </c>
      <c r="U81" s="292" t="s">
        <v>889</v>
      </c>
      <c r="V81" s="293" t="s">
        <v>890</v>
      </c>
      <c r="W81" s="294" t="s">
        <v>597</v>
      </c>
    </row>
    <row r="82" spans="5:23" ht="16.5" customHeight="1">
      <c r="E82" s="1874"/>
      <c r="F82" s="180" t="s">
        <v>891</v>
      </c>
      <c r="G82" s="121" t="s">
        <v>892</v>
      </c>
      <c r="H82" s="181" t="s">
        <v>893</v>
      </c>
      <c r="I82" s="217" t="s">
        <v>894</v>
      </c>
      <c r="K82" s="74">
        <v>1944</v>
      </c>
      <c r="L82" s="69"/>
      <c r="M82" s="69"/>
      <c r="N82" s="75"/>
      <c r="O82" s="273" t="s">
        <v>139</v>
      </c>
      <c r="P82" s="240" t="s">
        <v>139</v>
      </c>
      <c r="R82" s="1807"/>
      <c r="S82" s="295" t="s">
        <v>511</v>
      </c>
      <c r="T82" s="1986"/>
      <c r="U82" s="296" t="s">
        <v>895</v>
      </c>
      <c r="V82" s="297" t="s">
        <v>896</v>
      </c>
      <c r="W82" s="298" t="s">
        <v>896</v>
      </c>
    </row>
    <row r="83" spans="5:23" ht="16.5" customHeight="1">
      <c r="E83" s="1874"/>
      <c r="F83" s="180" t="s">
        <v>897</v>
      </c>
      <c r="G83" s="121" t="s">
        <v>898</v>
      </c>
      <c r="H83" s="181" t="s">
        <v>690</v>
      </c>
      <c r="I83" s="217" t="s">
        <v>899</v>
      </c>
      <c r="K83" s="74">
        <v>1943</v>
      </c>
      <c r="L83" s="69"/>
      <c r="M83" s="69"/>
      <c r="N83" s="75"/>
      <c r="O83" s="233" t="s">
        <v>102</v>
      </c>
      <c r="P83" s="223" t="s">
        <v>102</v>
      </c>
      <c r="R83" s="1807"/>
      <c r="S83" s="299" t="s">
        <v>517</v>
      </c>
      <c r="T83" s="1987"/>
      <c r="U83" s="300" t="s">
        <v>900</v>
      </c>
      <c r="V83" s="301" t="s">
        <v>901</v>
      </c>
      <c r="W83" s="302" t="s">
        <v>901</v>
      </c>
    </row>
    <row r="84" spans="5:23" ht="16.5" customHeight="1">
      <c r="E84" s="1874"/>
      <c r="F84" s="180" t="s">
        <v>902</v>
      </c>
      <c r="G84" s="121" t="s">
        <v>903</v>
      </c>
      <c r="H84" s="181" t="s">
        <v>690</v>
      </c>
      <c r="I84" s="217" t="s">
        <v>904</v>
      </c>
      <c r="K84" s="74">
        <v>1942</v>
      </c>
      <c r="L84" s="69"/>
      <c r="M84" s="69"/>
      <c r="N84" s="75"/>
      <c r="O84" s="233" t="s">
        <v>103</v>
      </c>
      <c r="P84" s="223" t="s">
        <v>103</v>
      </c>
      <c r="R84" s="1807"/>
      <c r="S84" s="303"/>
      <c r="T84" s="304"/>
      <c r="U84" s="305"/>
      <c r="V84" s="306"/>
      <c r="W84" s="307"/>
    </row>
    <row r="85" spans="5:23" ht="16.5" customHeight="1">
      <c r="E85" s="1874"/>
      <c r="F85" s="180" t="s">
        <v>905</v>
      </c>
      <c r="G85" s="121" t="s">
        <v>906</v>
      </c>
      <c r="H85" s="181" t="s">
        <v>907</v>
      </c>
      <c r="I85" s="217" t="s">
        <v>908</v>
      </c>
      <c r="K85" s="74">
        <v>1941</v>
      </c>
      <c r="L85" s="69"/>
      <c r="M85" s="69"/>
      <c r="N85" s="75"/>
      <c r="O85" s="233" t="s">
        <v>148</v>
      </c>
      <c r="P85" s="223" t="s">
        <v>127</v>
      </c>
      <c r="R85" s="1807"/>
      <c r="S85" s="1809" t="s">
        <v>909</v>
      </c>
      <c r="T85" s="308" t="s">
        <v>511</v>
      </c>
      <c r="U85" s="309" t="str">
        <f t="shared" ref="U85:U100" si="0">$S$85&amp;T85</f>
        <v>父子父</v>
      </c>
      <c r="V85" s="297" t="s">
        <v>896</v>
      </c>
      <c r="W85" s="298" t="s">
        <v>896</v>
      </c>
    </row>
    <row r="86" spans="5:23" ht="16.5" customHeight="1">
      <c r="E86" s="1874"/>
      <c r="F86" s="180" t="s">
        <v>910</v>
      </c>
      <c r="G86" s="121" t="s">
        <v>0</v>
      </c>
      <c r="H86" s="181" t="s">
        <v>621</v>
      </c>
      <c r="I86" s="217" t="s">
        <v>622</v>
      </c>
      <c r="K86" s="74">
        <v>1940</v>
      </c>
      <c r="L86" s="69"/>
      <c r="M86" s="69"/>
      <c r="N86" s="75"/>
      <c r="O86" s="233" t="s">
        <v>153</v>
      </c>
      <c r="P86" s="223" t="s">
        <v>911</v>
      </c>
      <c r="Q86" s="69"/>
      <c r="R86" s="1807"/>
      <c r="S86" s="1810"/>
      <c r="T86" s="310" t="s">
        <v>517</v>
      </c>
      <c r="U86" s="311" t="str">
        <f t="shared" si="0"/>
        <v>父子母</v>
      </c>
      <c r="V86" s="312" t="s">
        <v>901</v>
      </c>
      <c r="W86" s="313" t="s">
        <v>901</v>
      </c>
    </row>
    <row r="87" spans="5:23" ht="16.5" customHeight="1">
      <c r="E87" s="1874"/>
      <c r="F87" s="180" t="s">
        <v>912</v>
      </c>
      <c r="G87" s="121" t="s">
        <v>913</v>
      </c>
      <c r="H87" s="181" t="s">
        <v>914</v>
      </c>
      <c r="I87" s="217" t="s">
        <v>915</v>
      </c>
      <c r="K87" s="74">
        <v>1939</v>
      </c>
      <c r="L87" s="69"/>
      <c r="M87" s="69"/>
      <c r="N87" s="75"/>
      <c r="O87" s="233" t="s">
        <v>187</v>
      </c>
      <c r="P87" s="223" t="s">
        <v>187</v>
      </c>
      <c r="Q87" s="69"/>
      <c r="R87" s="1807"/>
      <c r="S87" s="1810"/>
      <c r="T87" s="314" t="s">
        <v>916</v>
      </c>
      <c r="U87" s="311" t="str">
        <f t="shared" si="0"/>
        <v>父子兄</v>
      </c>
      <c r="V87" s="315" t="s">
        <v>917</v>
      </c>
      <c r="W87" s="316" t="s">
        <v>917</v>
      </c>
    </row>
    <row r="88" spans="5:23" ht="16.5" customHeight="1">
      <c r="E88" s="1874"/>
      <c r="F88" s="180" t="s">
        <v>918</v>
      </c>
      <c r="G88" s="121" t="s">
        <v>919</v>
      </c>
      <c r="H88" s="181" t="s">
        <v>920</v>
      </c>
      <c r="I88" s="217" t="s">
        <v>921</v>
      </c>
      <c r="K88" s="74">
        <v>1938</v>
      </c>
      <c r="L88" s="69"/>
      <c r="M88" s="69"/>
      <c r="N88" s="75"/>
      <c r="O88" s="233" t="s">
        <v>217</v>
      </c>
      <c r="P88" s="223" t="s">
        <v>217</v>
      </c>
      <c r="Q88" s="69"/>
      <c r="R88" s="1807"/>
      <c r="S88" s="1810"/>
      <c r="T88" s="317" t="s">
        <v>922</v>
      </c>
      <c r="U88" s="311" t="str">
        <f t="shared" si="0"/>
        <v>父子妹</v>
      </c>
      <c r="V88" s="318" t="s">
        <v>917</v>
      </c>
      <c r="W88" s="319" t="s">
        <v>917</v>
      </c>
    </row>
    <row r="89" spans="5:23" ht="16.5" customHeight="1">
      <c r="E89" s="1874"/>
      <c r="F89" s="180" t="s">
        <v>923</v>
      </c>
      <c r="G89" s="121" t="s">
        <v>924</v>
      </c>
      <c r="H89" s="181" t="s">
        <v>925</v>
      </c>
      <c r="I89" s="217" t="s">
        <v>926</v>
      </c>
      <c r="K89" s="74">
        <v>1937</v>
      </c>
      <c r="L89" s="69"/>
      <c r="M89" s="69"/>
      <c r="N89" s="75"/>
      <c r="O89" s="274" t="s">
        <v>148</v>
      </c>
      <c r="P89" s="238" t="s">
        <v>127</v>
      </c>
      <c r="Q89" s="69"/>
      <c r="R89" s="1807"/>
      <c r="S89" s="1810"/>
      <c r="T89" s="317" t="s">
        <v>927</v>
      </c>
      <c r="U89" s="311" t="str">
        <f t="shared" si="0"/>
        <v>父子姐</v>
      </c>
      <c r="V89" s="318" t="s">
        <v>917</v>
      </c>
      <c r="W89" s="319" t="s">
        <v>917</v>
      </c>
    </row>
    <row r="90" spans="5:23" ht="16.5" customHeight="1">
      <c r="E90" s="1874"/>
      <c r="F90" s="180" t="s">
        <v>928</v>
      </c>
      <c r="G90" s="121" t="s">
        <v>929</v>
      </c>
      <c r="H90" s="181" t="s">
        <v>930</v>
      </c>
      <c r="I90" s="217" t="s">
        <v>931</v>
      </c>
      <c r="K90" s="74">
        <v>1936</v>
      </c>
      <c r="L90" s="69"/>
      <c r="M90" s="69"/>
      <c r="N90" s="75"/>
      <c r="O90" s="274" t="s">
        <v>153</v>
      </c>
      <c r="P90" s="238" t="s">
        <v>911</v>
      </c>
      <c r="Q90" s="69"/>
      <c r="R90" s="1807"/>
      <c r="S90" s="1810"/>
      <c r="T90" s="317" t="s">
        <v>932</v>
      </c>
      <c r="U90" s="311" t="str">
        <f t="shared" si="0"/>
        <v>父子弟</v>
      </c>
      <c r="V90" s="318" t="s">
        <v>917</v>
      </c>
      <c r="W90" s="319" t="s">
        <v>917</v>
      </c>
    </row>
    <row r="91" spans="5:23" ht="16.5" customHeight="1">
      <c r="E91" s="1874"/>
      <c r="F91" s="180" t="s">
        <v>933</v>
      </c>
      <c r="G91" s="121" t="s">
        <v>934</v>
      </c>
      <c r="H91" s="181" t="s">
        <v>935</v>
      </c>
      <c r="I91" s="217" t="s">
        <v>685</v>
      </c>
      <c r="K91" s="74">
        <v>1935</v>
      </c>
      <c r="L91" s="69"/>
      <c r="M91" s="69"/>
      <c r="N91" s="75"/>
      <c r="O91" s="71"/>
      <c r="Q91" s="69"/>
      <c r="R91" s="1807"/>
      <c r="S91" s="1810"/>
      <c r="T91" s="320" t="s">
        <v>936</v>
      </c>
      <c r="U91" s="321" t="str">
        <f t="shared" si="0"/>
        <v>父子伯父</v>
      </c>
      <c r="V91" s="322" t="s">
        <v>916</v>
      </c>
      <c r="W91" s="323" t="s">
        <v>917</v>
      </c>
    </row>
    <row r="92" spans="5:23" ht="16.5" customHeight="1">
      <c r="E92" s="1874"/>
      <c r="F92" s="180" t="s">
        <v>937</v>
      </c>
      <c r="G92" s="121" t="s">
        <v>938</v>
      </c>
      <c r="H92" s="181" t="s">
        <v>939</v>
      </c>
      <c r="I92" s="217" t="s">
        <v>940</v>
      </c>
      <c r="K92" s="74"/>
      <c r="L92" s="69"/>
      <c r="M92" s="69"/>
      <c r="N92" s="75"/>
      <c r="O92" s="71"/>
      <c r="P92" s="275"/>
      <c r="Q92" s="69"/>
      <c r="R92" s="1807"/>
      <c r="S92" s="1810"/>
      <c r="T92" s="320" t="s">
        <v>941</v>
      </c>
      <c r="U92" s="321" t="str">
        <f t="shared" si="0"/>
        <v>父子叔父</v>
      </c>
      <c r="V92" s="322" t="s">
        <v>932</v>
      </c>
      <c r="W92" s="323" t="s">
        <v>917</v>
      </c>
    </row>
    <row r="93" spans="5:23" ht="16.5" customHeight="1">
      <c r="E93" s="1874"/>
      <c r="F93" s="180" t="s">
        <v>942</v>
      </c>
      <c r="G93" s="121" t="s">
        <v>943</v>
      </c>
      <c r="H93" s="181" t="s">
        <v>944</v>
      </c>
      <c r="I93" s="217" t="s">
        <v>945</v>
      </c>
      <c r="M93" s="69"/>
      <c r="N93" s="75"/>
      <c r="O93" s="276" t="str">
        <f>$O$8</f>
        <v>Việt Nam</v>
      </c>
      <c r="P93" s="277" t="s">
        <v>946</v>
      </c>
      <c r="Q93" s="69"/>
      <c r="R93" s="1807"/>
      <c r="S93" s="1810"/>
      <c r="T93" s="320" t="s">
        <v>947</v>
      </c>
      <c r="U93" s="321" t="str">
        <f t="shared" si="0"/>
        <v>父子姑妈（大）</v>
      </c>
      <c r="V93" s="322" t="s">
        <v>927</v>
      </c>
      <c r="W93" s="323" t="s">
        <v>917</v>
      </c>
    </row>
    <row r="94" spans="5:23" ht="16.5" customHeight="1">
      <c r="E94" s="1874"/>
      <c r="F94" s="180" t="s">
        <v>948</v>
      </c>
      <c r="G94" s="121" t="s">
        <v>949</v>
      </c>
      <c r="H94" s="181" t="s">
        <v>690</v>
      </c>
      <c r="I94" s="217" t="s">
        <v>691</v>
      </c>
      <c r="N94" s="75"/>
      <c r="O94" s="278" t="str">
        <f>$O$9</f>
        <v>中国</v>
      </c>
      <c r="P94" s="279" t="s">
        <v>950</v>
      </c>
      <c r="Q94" s="69"/>
      <c r="R94" s="1807"/>
      <c r="S94" s="1810"/>
      <c r="T94" s="320" t="s">
        <v>951</v>
      </c>
      <c r="U94" s="321" t="str">
        <f t="shared" si="0"/>
        <v>父子姑妈（小）</v>
      </c>
      <c r="V94" s="322" t="s">
        <v>922</v>
      </c>
      <c r="W94" s="323" t="s">
        <v>917</v>
      </c>
    </row>
    <row r="95" spans="5:23" ht="16.5" customHeight="1">
      <c r="E95" s="1874"/>
      <c r="F95" s="180" t="s">
        <v>952</v>
      </c>
      <c r="G95" s="121" t="s">
        <v>953</v>
      </c>
      <c r="H95" s="181" t="s">
        <v>690</v>
      </c>
      <c r="I95" s="217" t="s">
        <v>954</v>
      </c>
      <c r="O95" s="280" t="str">
        <f>$O$10</f>
        <v>English</v>
      </c>
      <c r="P95" s="279" t="s">
        <v>955</v>
      </c>
      <c r="R95" s="1807"/>
      <c r="S95" s="1810"/>
      <c r="T95" s="320" t="s">
        <v>956</v>
      </c>
      <c r="U95" s="321" t="str">
        <f t="shared" si="0"/>
        <v>父子爷爷</v>
      </c>
      <c r="V95" s="324" t="s">
        <v>511</v>
      </c>
      <c r="W95" s="323" t="s">
        <v>511</v>
      </c>
    </row>
    <row r="96" spans="5:23" ht="16.5" customHeight="1">
      <c r="E96" s="1874"/>
      <c r="F96" s="180" t="s">
        <v>957</v>
      </c>
      <c r="G96" s="121" t="s">
        <v>958</v>
      </c>
      <c r="H96" s="181" t="s">
        <v>959</v>
      </c>
      <c r="I96" s="217" t="s">
        <v>960</v>
      </c>
      <c r="O96" s="281" t="str">
        <f>$O$11</f>
        <v>한국어</v>
      </c>
      <c r="P96" s="282" t="s">
        <v>961</v>
      </c>
      <c r="R96" s="1807"/>
      <c r="S96" s="1810"/>
      <c r="T96" s="320" t="s">
        <v>962</v>
      </c>
      <c r="U96" s="321" t="str">
        <f t="shared" si="0"/>
        <v>父子奶奶</v>
      </c>
      <c r="V96" s="324" t="s">
        <v>517</v>
      </c>
      <c r="W96" s="325" t="s">
        <v>517</v>
      </c>
    </row>
    <row r="97" spans="1:23" ht="16.5" customHeight="1">
      <c r="E97" s="1874"/>
      <c r="F97" s="180" t="s">
        <v>963</v>
      </c>
      <c r="G97" s="121" t="s">
        <v>964</v>
      </c>
      <c r="H97" s="181" t="s">
        <v>965</v>
      </c>
      <c r="I97" s="217" t="s">
        <v>966</v>
      </c>
      <c r="O97" s="283" t="str">
        <f>$O$12</f>
        <v>日本語</v>
      </c>
      <c r="P97" s="284" t="s">
        <v>967</v>
      </c>
      <c r="R97" s="1807"/>
      <c r="S97" s="1810"/>
      <c r="T97" s="326" t="s">
        <v>896</v>
      </c>
      <c r="U97" s="311" t="str">
        <f t="shared" si="0"/>
        <v>父子夫</v>
      </c>
      <c r="V97" s="327" t="s">
        <v>968</v>
      </c>
      <c r="W97" s="328" t="s">
        <v>969</v>
      </c>
    </row>
    <row r="98" spans="1:23" ht="16.5" customHeight="1">
      <c r="E98" s="1874"/>
      <c r="F98" s="180" t="s">
        <v>970</v>
      </c>
      <c r="G98" s="121" t="s">
        <v>971</v>
      </c>
      <c r="H98" s="181" t="s">
        <v>972</v>
      </c>
      <c r="I98" s="217" t="s">
        <v>960</v>
      </c>
      <c r="R98" s="1807"/>
      <c r="S98" s="1810"/>
      <c r="T98" s="326" t="s">
        <v>901</v>
      </c>
      <c r="U98" s="311" t="str">
        <f t="shared" si="0"/>
        <v>父子妻</v>
      </c>
      <c r="V98" s="327" t="s">
        <v>973</v>
      </c>
      <c r="W98" s="328" t="s">
        <v>974</v>
      </c>
    </row>
    <row r="99" spans="1:23" ht="16.5" customHeight="1" thickBot="1">
      <c r="E99" s="1874"/>
      <c r="F99" s="180" t="s">
        <v>975</v>
      </c>
      <c r="G99" s="121" t="s">
        <v>976</v>
      </c>
      <c r="H99" s="181" t="s">
        <v>977</v>
      </c>
      <c r="I99" s="217" t="s">
        <v>685</v>
      </c>
      <c r="R99" s="1807"/>
      <c r="S99" s="1810"/>
      <c r="T99" s="329" t="s">
        <v>978</v>
      </c>
      <c r="U99" s="321" t="str">
        <f t="shared" si="0"/>
        <v>父子侄子</v>
      </c>
      <c r="V99" s="324" t="s">
        <v>979</v>
      </c>
      <c r="W99" s="330"/>
    </row>
    <row r="100" spans="1:23" ht="16.5" customHeight="1" thickBot="1">
      <c r="E100" s="1874"/>
      <c r="F100" s="180" t="s">
        <v>980</v>
      </c>
      <c r="G100" s="121" t="s">
        <v>981</v>
      </c>
      <c r="H100" s="181" t="s">
        <v>982</v>
      </c>
      <c r="I100" s="217" t="s">
        <v>983</v>
      </c>
      <c r="O100" s="276" t="str">
        <f>$O$8</f>
        <v>Việt Nam</v>
      </c>
      <c r="P100" s="676" t="s">
        <v>1850</v>
      </c>
      <c r="R100" s="1807"/>
      <c r="S100" s="1811"/>
      <c r="T100" s="331" t="s">
        <v>984</v>
      </c>
      <c r="U100" s="332" t="str">
        <f t="shared" si="0"/>
        <v>父子侄女</v>
      </c>
      <c r="V100" s="333" t="s">
        <v>985</v>
      </c>
      <c r="W100" s="334"/>
    </row>
    <row r="101" spans="1:23" ht="16.5" customHeight="1" thickTop="1">
      <c r="E101" s="1874"/>
      <c r="F101" s="180" t="s">
        <v>986</v>
      </c>
      <c r="G101" s="121" t="s">
        <v>987</v>
      </c>
      <c r="H101" s="181" t="s">
        <v>988</v>
      </c>
      <c r="I101" s="217" t="s">
        <v>685</v>
      </c>
      <c r="O101" s="278" t="str">
        <f>$O$9</f>
        <v>中国</v>
      </c>
      <c r="P101" s="677" t="s">
        <v>950</v>
      </c>
      <c r="R101" s="1807"/>
      <c r="S101" s="1812" t="s">
        <v>989</v>
      </c>
      <c r="T101" s="308" t="s">
        <v>511</v>
      </c>
      <c r="U101" s="311" t="str">
        <f t="shared" ref="U101:U116" si="1">$S$101&amp;T101</f>
        <v>母子父</v>
      </c>
      <c r="V101" s="297" t="s">
        <v>896</v>
      </c>
      <c r="W101" s="298" t="s">
        <v>896</v>
      </c>
    </row>
    <row r="102" spans="1:23" ht="16.5" customHeight="1">
      <c r="E102" s="1874"/>
      <c r="F102" s="180" t="s">
        <v>990</v>
      </c>
      <c r="G102" s="121" t="s">
        <v>991</v>
      </c>
      <c r="H102" s="181" t="s">
        <v>992</v>
      </c>
      <c r="I102" s="217" t="s">
        <v>685</v>
      </c>
      <c r="O102" s="280" t="str">
        <f>$O$10</f>
        <v>English</v>
      </c>
      <c r="P102" s="677" t="s">
        <v>955</v>
      </c>
      <c r="R102" s="1807"/>
      <c r="S102" s="1812"/>
      <c r="T102" s="310" t="s">
        <v>517</v>
      </c>
      <c r="U102" s="311" t="str">
        <f t="shared" si="1"/>
        <v>母子母</v>
      </c>
      <c r="V102" s="312" t="s">
        <v>901</v>
      </c>
      <c r="W102" s="313" t="s">
        <v>901</v>
      </c>
    </row>
    <row r="103" spans="1:23" ht="16.5" customHeight="1">
      <c r="E103" s="1874"/>
      <c r="F103" s="180" t="s">
        <v>993</v>
      </c>
      <c r="G103" s="121" t="s">
        <v>994</v>
      </c>
      <c r="H103" s="181" t="s">
        <v>995</v>
      </c>
      <c r="I103" s="217" t="s">
        <v>996</v>
      </c>
      <c r="O103" s="281" t="str">
        <f>$O$11</f>
        <v>한국어</v>
      </c>
      <c r="P103" s="677" t="s">
        <v>961</v>
      </c>
      <c r="R103" s="1807"/>
      <c r="S103" s="1812"/>
      <c r="T103" s="326" t="s">
        <v>916</v>
      </c>
      <c r="U103" s="311" t="str">
        <f t="shared" si="1"/>
        <v>母子兄</v>
      </c>
      <c r="V103" s="318" t="s">
        <v>917</v>
      </c>
      <c r="W103" s="319" t="s">
        <v>917</v>
      </c>
    </row>
    <row r="104" spans="1:23" ht="16.5" customHeight="1" thickBot="1">
      <c r="E104" s="1874"/>
      <c r="F104" s="180" t="s">
        <v>997</v>
      </c>
      <c r="G104" s="121" t="s">
        <v>998</v>
      </c>
      <c r="H104" s="181" t="s">
        <v>999</v>
      </c>
      <c r="I104" s="217" t="s">
        <v>685</v>
      </c>
      <c r="O104" s="283" t="str">
        <f>$O$12</f>
        <v>日本語</v>
      </c>
      <c r="P104" s="678" t="s">
        <v>967</v>
      </c>
      <c r="R104" s="1807"/>
      <c r="S104" s="1812"/>
      <c r="T104" s="326" t="s">
        <v>922</v>
      </c>
      <c r="U104" s="311" t="str">
        <f t="shared" si="1"/>
        <v>母子妹</v>
      </c>
      <c r="V104" s="318" t="s">
        <v>917</v>
      </c>
      <c r="W104" s="319" t="s">
        <v>917</v>
      </c>
    </row>
    <row r="105" spans="1:23" ht="16.5" customHeight="1">
      <c r="E105" s="1874"/>
      <c r="F105" s="180" t="s">
        <v>1000</v>
      </c>
      <c r="G105" s="121" t="s">
        <v>1001</v>
      </c>
      <c r="H105" s="181" t="s">
        <v>1002</v>
      </c>
      <c r="I105" s="217" t="s">
        <v>685</v>
      </c>
      <c r="R105" s="1807"/>
      <c r="S105" s="1812"/>
      <c r="T105" s="326" t="s">
        <v>927</v>
      </c>
      <c r="U105" s="311" t="str">
        <f t="shared" si="1"/>
        <v>母子姐</v>
      </c>
      <c r="V105" s="318" t="s">
        <v>917</v>
      </c>
      <c r="W105" s="319" t="s">
        <v>917</v>
      </c>
    </row>
    <row r="106" spans="1:23" ht="16.5" customHeight="1">
      <c r="E106" s="1874"/>
      <c r="F106" s="180" t="s">
        <v>1003</v>
      </c>
      <c r="G106" s="121" t="s">
        <v>1004</v>
      </c>
      <c r="H106" s="181" t="s">
        <v>690</v>
      </c>
      <c r="I106" s="217" t="s">
        <v>691</v>
      </c>
      <c r="O106" s="69" t="str">
        <f>SPONSORRELATIONSHIP&amp;APPLICANTGENDERSELECT</f>
        <v>Female</v>
      </c>
      <c r="R106" s="1807"/>
      <c r="S106" s="1812"/>
      <c r="T106" s="326" t="s">
        <v>932</v>
      </c>
      <c r="U106" s="311" t="str">
        <f t="shared" si="1"/>
        <v>母子弟</v>
      </c>
      <c r="V106" s="318" t="s">
        <v>917</v>
      </c>
      <c r="W106" s="319" t="s">
        <v>917</v>
      </c>
    </row>
    <row r="107" spans="1:23" ht="16.5" customHeight="1">
      <c r="E107" s="1874"/>
      <c r="F107" s="180" t="s">
        <v>1005</v>
      </c>
      <c r="G107" s="121" t="s">
        <v>1006</v>
      </c>
      <c r="H107" s="181" t="s">
        <v>1007</v>
      </c>
      <c r="I107" s="217" t="s">
        <v>685</v>
      </c>
      <c r="O107" s="689" t="s">
        <v>1857</v>
      </c>
      <c r="P107" s="689" t="s">
        <v>1851</v>
      </c>
      <c r="R107" s="1807"/>
      <c r="S107" s="1812"/>
      <c r="T107" s="320" t="s">
        <v>1008</v>
      </c>
      <c r="U107" s="321" t="str">
        <f t="shared" si="1"/>
        <v>母子舅父（大）</v>
      </c>
      <c r="V107" s="335" t="s">
        <v>916</v>
      </c>
      <c r="W107" s="323" t="s">
        <v>917</v>
      </c>
    </row>
    <row r="108" spans="1:23" ht="16.5" customHeight="1">
      <c r="E108" s="1874"/>
      <c r="F108" s="180" t="s">
        <v>1009</v>
      </c>
      <c r="G108" s="121" t="s">
        <v>1010</v>
      </c>
      <c r="H108" s="181" t="s">
        <v>1011</v>
      </c>
      <c r="I108" s="217" t="s">
        <v>1012</v>
      </c>
      <c r="O108" s="689" t="s">
        <v>1858</v>
      </c>
      <c r="P108" s="689" t="s">
        <v>1851</v>
      </c>
      <c r="R108" s="1807"/>
      <c r="S108" s="1812"/>
      <c r="T108" s="320" t="s">
        <v>1013</v>
      </c>
      <c r="U108" s="321" t="str">
        <f t="shared" si="1"/>
        <v>母子舅父（小）</v>
      </c>
      <c r="V108" s="335" t="s">
        <v>932</v>
      </c>
      <c r="W108" s="323" t="s">
        <v>917</v>
      </c>
    </row>
    <row r="109" spans="1:23" ht="16.5" customHeight="1">
      <c r="A109" s="1816" t="s">
        <v>1014</v>
      </c>
      <c r="B109" s="1817"/>
      <c r="C109" s="1818"/>
      <c r="E109" s="1874"/>
      <c r="F109" s="180" t="s">
        <v>1015</v>
      </c>
      <c r="G109" s="121" t="s">
        <v>634</v>
      </c>
      <c r="H109" s="181" t="s">
        <v>635</v>
      </c>
      <c r="I109" s="213" t="s">
        <v>636</v>
      </c>
      <c r="O109" s="689" t="s">
        <v>1859</v>
      </c>
      <c r="P109" s="689" t="s">
        <v>1852</v>
      </c>
      <c r="R109" s="1807"/>
      <c r="S109" s="1812"/>
      <c r="T109" s="320" t="s">
        <v>1016</v>
      </c>
      <c r="U109" s="321" t="str">
        <f t="shared" si="1"/>
        <v>母子姨母（大）</v>
      </c>
      <c r="V109" s="335" t="s">
        <v>927</v>
      </c>
      <c r="W109" s="323" t="s">
        <v>917</v>
      </c>
    </row>
    <row r="110" spans="1:23" ht="16.5" customHeight="1">
      <c r="A110" s="1976" t="s">
        <v>369</v>
      </c>
      <c r="B110" s="257" t="s">
        <v>304</v>
      </c>
      <c r="C110" s="258" t="s">
        <v>314</v>
      </c>
      <c r="E110" s="1874"/>
      <c r="F110" s="180" t="s">
        <v>1017</v>
      </c>
      <c r="G110" s="121" t="s">
        <v>1018</v>
      </c>
      <c r="H110" s="181" t="s">
        <v>1019</v>
      </c>
      <c r="I110" s="217" t="s">
        <v>1020</v>
      </c>
      <c r="K110" s="74"/>
      <c r="O110" s="689" t="s">
        <v>1860</v>
      </c>
      <c r="P110" s="689" t="s">
        <v>1852</v>
      </c>
      <c r="R110" s="1807"/>
      <c r="S110" s="1812"/>
      <c r="T110" s="320" t="s">
        <v>1021</v>
      </c>
      <c r="U110" s="321" t="str">
        <f t="shared" si="1"/>
        <v>母子姨母（小）</v>
      </c>
      <c r="V110" s="335" t="s">
        <v>922</v>
      </c>
      <c r="W110" s="323" t="s">
        <v>917</v>
      </c>
    </row>
    <row r="111" spans="1:23" ht="16.5" customHeight="1">
      <c r="A111" s="1977"/>
      <c r="B111" s="259" t="s">
        <v>305</v>
      </c>
      <c r="C111" s="206" t="s">
        <v>315</v>
      </c>
      <c r="E111" s="1874"/>
      <c r="F111" s="180" t="s">
        <v>1022</v>
      </c>
      <c r="G111" s="121" t="s">
        <v>1023</v>
      </c>
      <c r="H111" s="181" t="s">
        <v>1024</v>
      </c>
      <c r="I111" s="217" t="s">
        <v>1025</v>
      </c>
      <c r="K111" s="74"/>
      <c r="O111" s="689" t="s">
        <v>1861</v>
      </c>
      <c r="P111" s="689" t="s">
        <v>1853</v>
      </c>
      <c r="R111" s="1807"/>
      <c r="S111" s="1812"/>
      <c r="T111" s="320" t="s">
        <v>1026</v>
      </c>
      <c r="U111" s="321" t="str">
        <f t="shared" si="1"/>
        <v>母子姥姥</v>
      </c>
      <c r="V111" s="324" t="s">
        <v>511</v>
      </c>
      <c r="W111" s="336" t="s">
        <v>511</v>
      </c>
    </row>
    <row r="112" spans="1:23" ht="16.5" customHeight="1">
      <c r="A112" s="1978" t="s">
        <v>429</v>
      </c>
      <c r="B112" s="260" t="s">
        <v>314</v>
      </c>
      <c r="C112" s="207" t="s">
        <v>314</v>
      </c>
      <c r="E112" s="1874"/>
      <c r="F112" s="180" t="s">
        <v>1027</v>
      </c>
      <c r="G112" s="121" t="s">
        <v>1028</v>
      </c>
      <c r="H112" s="181" t="s">
        <v>1029</v>
      </c>
      <c r="I112" s="217" t="s">
        <v>1030</v>
      </c>
      <c r="K112" s="74"/>
      <c r="O112" s="689" t="s">
        <v>1862</v>
      </c>
      <c r="P112" s="689" t="s">
        <v>1853</v>
      </c>
      <c r="R112" s="1807"/>
      <c r="S112" s="1812"/>
      <c r="T112" s="320" t="s">
        <v>1031</v>
      </c>
      <c r="U112" s="321" t="str">
        <f t="shared" si="1"/>
        <v>母子姥爷</v>
      </c>
      <c r="V112" s="324" t="s">
        <v>517</v>
      </c>
      <c r="W112" s="336" t="s">
        <v>517</v>
      </c>
    </row>
    <row r="113" spans="1:23" ht="16.5" customHeight="1">
      <c r="A113" s="1979"/>
      <c r="B113" s="259" t="s">
        <v>315</v>
      </c>
      <c r="C113" s="206" t="s">
        <v>315</v>
      </c>
      <c r="E113" s="1874"/>
      <c r="F113" s="180" t="s">
        <v>1032</v>
      </c>
      <c r="G113" s="121" t="s">
        <v>1033</v>
      </c>
      <c r="H113" s="181" t="s">
        <v>1034</v>
      </c>
      <c r="I113" s="217" t="s">
        <v>1035</v>
      </c>
      <c r="K113" s="74"/>
      <c r="O113" s="689" t="s">
        <v>1863</v>
      </c>
      <c r="P113" s="689" t="s">
        <v>1854</v>
      </c>
      <c r="R113" s="1807"/>
      <c r="S113" s="1812"/>
      <c r="T113" s="326" t="s">
        <v>896</v>
      </c>
      <c r="U113" s="311" t="str">
        <f t="shared" si="1"/>
        <v>母子夫</v>
      </c>
      <c r="V113" s="318" t="s">
        <v>968</v>
      </c>
      <c r="W113" s="337" t="s">
        <v>969</v>
      </c>
    </row>
    <row r="114" spans="1:23" ht="16.5" customHeight="1">
      <c r="A114" s="1980" t="s">
        <v>441</v>
      </c>
      <c r="B114" s="260" t="s">
        <v>156</v>
      </c>
      <c r="C114" s="207" t="s">
        <v>156</v>
      </c>
      <c r="E114" s="1874"/>
      <c r="F114" s="180" t="s">
        <v>1036</v>
      </c>
      <c r="G114" s="121" t="s">
        <v>1037</v>
      </c>
      <c r="H114" s="181" t="s">
        <v>1038</v>
      </c>
      <c r="I114" s="217" t="s">
        <v>685</v>
      </c>
      <c r="K114" s="74"/>
      <c r="O114" s="689" t="s">
        <v>1864</v>
      </c>
      <c r="P114" s="689" t="s">
        <v>1854</v>
      </c>
      <c r="R114" s="1807"/>
      <c r="S114" s="1812"/>
      <c r="T114" s="326" t="s">
        <v>901</v>
      </c>
      <c r="U114" s="311" t="str">
        <f t="shared" si="1"/>
        <v>母子妻</v>
      </c>
      <c r="V114" s="318" t="s">
        <v>973</v>
      </c>
      <c r="W114" s="337" t="s">
        <v>974</v>
      </c>
    </row>
    <row r="115" spans="1:23" ht="16.5" customHeight="1">
      <c r="A115" s="1981"/>
      <c r="B115" s="259" t="s">
        <v>156</v>
      </c>
      <c r="C115" s="206" t="s">
        <v>156</v>
      </c>
      <c r="E115" s="1874"/>
      <c r="F115" s="180" t="s">
        <v>1039</v>
      </c>
      <c r="G115" s="121" t="s">
        <v>1040</v>
      </c>
      <c r="H115" s="181" t="s">
        <v>1041</v>
      </c>
      <c r="I115" s="217" t="s">
        <v>685</v>
      </c>
      <c r="K115" s="74"/>
      <c r="O115" s="689" t="s">
        <v>1865</v>
      </c>
      <c r="P115" s="689" t="s">
        <v>1855</v>
      </c>
      <c r="R115" s="1807"/>
      <c r="S115" s="1812"/>
      <c r="T115" s="329" t="s">
        <v>978</v>
      </c>
      <c r="U115" s="321" t="str">
        <f t="shared" si="1"/>
        <v>母子侄子</v>
      </c>
      <c r="V115" s="324" t="s">
        <v>979</v>
      </c>
      <c r="W115" s="336"/>
    </row>
    <row r="116" spans="1:23" ht="16.5" customHeight="1">
      <c r="A116" s="1982" t="s">
        <v>462</v>
      </c>
      <c r="B116" s="260" t="s">
        <v>333</v>
      </c>
      <c r="C116" s="207" t="s">
        <v>314</v>
      </c>
      <c r="E116" s="1874"/>
      <c r="F116" s="180" t="s">
        <v>1042</v>
      </c>
      <c r="G116" s="121" t="s">
        <v>1043</v>
      </c>
      <c r="H116" s="181" t="s">
        <v>1044</v>
      </c>
      <c r="I116" s="217" t="s">
        <v>1045</v>
      </c>
      <c r="K116" s="74"/>
      <c r="O116" s="689" t="s">
        <v>1866</v>
      </c>
      <c r="P116" s="689" t="s">
        <v>1855</v>
      </c>
      <c r="R116" s="1807"/>
      <c r="S116" s="1813"/>
      <c r="T116" s="331" t="s">
        <v>984</v>
      </c>
      <c r="U116" s="332" t="str">
        <f t="shared" si="1"/>
        <v>母子侄女</v>
      </c>
      <c r="V116" s="333" t="s">
        <v>985</v>
      </c>
      <c r="W116" s="338"/>
    </row>
    <row r="117" spans="1:23" ht="16.5" customHeight="1">
      <c r="A117" s="1983"/>
      <c r="B117" s="259" t="s">
        <v>334</v>
      </c>
      <c r="C117" s="206" t="s">
        <v>315</v>
      </c>
      <c r="E117" s="1874"/>
      <c r="F117" s="180" t="s">
        <v>1046</v>
      </c>
      <c r="G117" s="121" t="s">
        <v>1047</v>
      </c>
      <c r="H117" s="181" t="s">
        <v>1048</v>
      </c>
      <c r="I117" s="217" t="s">
        <v>1049</v>
      </c>
      <c r="K117" s="74"/>
      <c r="O117" s="689" t="s">
        <v>1867</v>
      </c>
      <c r="P117" s="689" t="s">
        <v>1856</v>
      </c>
      <c r="R117" s="1807"/>
      <c r="S117" s="1809" t="s">
        <v>1050</v>
      </c>
      <c r="T117" s="308" t="s">
        <v>511</v>
      </c>
      <c r="U117" s="311" t="str">
        <f t="shared" ref="U117:U132" si="2">$S$117&amp;T117</f>
        <v>父女父</v>
      </c>
      <c r="V117" s="297" t="s">
        <v>896</v>
      </c>
      <c r="W117" s="298" t="s">
        <v>896</v>
      </c>
    </row>
    <row r="118" spans="1:23" ht="16.5" customHeight="1">
      <c r="A118" s="1984" t="s">
        <v>476</v>
      </c>
      <c r="B118" s="260" t="s">
        <v>314</v>
      </c>
      <c r="C118" s="207" t="s">
        <v>314</v>
      </c>
      <c r="E118" s="1874"/>
      <c r="F118" s="180" t="s">
        <v>1051</v>
      </c>
      <c r="G118" s="121" t="s">
        <v>1052</v>
      </c>
      <c r="H118" s="181" t="s">
        <v>1053</v>
      </c>
      <c r="I118" s="217" t="s">
        <v>685</v>
      </c>
      <c r="K118" s="74"/>
      <c r="O118" s="689" t="s">
        <v>1868</v>
      </c>
      <c r="P118" s="689" t="s">
        <v>1856</v>
      </c>
      <c r="R118" s="1807"/>
      <c r="S118" s="1810"/>
      <c r="T118" s="310" t="s">
        <v>517</v>
      </c>
      <c r="U118" s="311" t="str">
        <f t="shared" si="2"/>
        <v>父女母</v>
      </c>
      <c r="V118" s="312" t="s">
        <v>901</v>
      </c>
      <c r="W118" s="313" t="s">
        <v>901</v>
      </c>
    </row>
    <row r="119" spans="1:23" ht="16.5" customHeight="1">
      <c r="A119" s="1985"/>
      <c r="B119" s="261" t="s">
        <v>315</v>
      </c>
      <c r="C119" s="208" t="s">
        <v>315</v>
      </c>
      <c r="E119" s="1874"/>
      <c r="F119" s="180" t="s">
        <v>1054</v>
      </c>
      <c r="G119" s="121" t="s">
        <v>1055</v>
      </c>
      <c r="H119" s="181" t="s">
        <v>1056</v>
      </c>
      <c r="I119" s="217" t="s">
        <v>1057</v>
      </c>
      <c r="K119" s="74"/>
      <c r="O119" s="69" t="e">
        <f>VLOOKUP(O106,SPONSORCONVERSION,2,0)</f>
        <v>#N/A</v>
      </c>
      <c r="R119" s="1807"/>
      <c r="S119" s="1810"/>
      <c r="T119" s="326" t="s">
        <v>916</v>
      </c>
      <c r="U119" s="311" t="str">
        <f t="shared" si="2"/>
        <v>父女兄</v>
      </c>
      <c r="V119" s="318" t="s">
        <v>917</v>
      </c>
      <c r="W119" s="319" t="s">
        <v>917</v>
      </c>
    </row>
    <row r="120" spans="1:23" ht="16.5" customHeight="1">
      <c r="E120" s="1874"/>
      <c r="F120" s="180" t="s">
        <v>1058</v>
      </c>
      <c r="G120" s="121" t="s">
        <v>1059</v>
      </c>
      <c r="H120" s="181" t="s">
        <v>1060</v>
      </c>
      <c r="I120" s="217" t="s">
        <v>1061</v>
      </c>
      <c r="K120" s="74"/>
      <c r="R120" s="1807"/>
      <c r="S120" s="1810"/>
      <c r="T120" s="326" t="s">
        <v>922</v>
      </c>
      <c r="U120" s="311" t="str">
        <f t="shared" si="2"/>
        <v>父女妹</v>
      </c>
      <c r="V120" s="318" t="s">
        <v>917</v>
      </c>
      <c r="W120" s="319" t="s">
        <v>917</v>
      </c>
    </row>
    <row r="121" spans="1:23" ht="16.5" customHeight="1">
      <c r="E121" s="1874"/>
      <c r="F121" s="180" t="s">
        <v>1062</v>
      </c>
      <c r="G121" s="121" t="s">
        <v>1063</v>
      </c>
      <c r="H121" s="181" t="s">
        <v>1064</v>
      </c>
      <c r="I121" s="217" t="s">
        <v>685</v>
      </c>
      <c r="K121" s="74"/>
      <c r="R121" s="1807"/>
      <c r="S121" s="1810"/>
      <c r="T121" s="326" t="s">
        <v>927</v>
      </c>
      <c r="U121" s="311" t="str">
        <f t="shared" si="2"/>
        <v>父女姐</v>
      </c>
      <c r="V121" s="318" t="s">
        <v>917</v>
      </c>
      <c r="W121" s="319" t="s">
        <v>917</v>
      </c>
    </row>
    <row r="122" spans="1:23" ht="16.5" customHeight="1">
      <c r="A122" s="1816" t="s">
        <v>1065</v>
      </c>
      <c r="B122" s="1817"/>
      <c r="C122" s="1818"/>
      <c r="E122" s="1874"/>
      <c r="F122" s="180" t="s">
        <v>1066</v>
      </c>
      <c r="G122" s="121" t="s">
        <v>1067</v>
      </c>
      <c r="H122" s="181" t="s">
        <v>1068</v>
      </c>
      <c r="I122" s="217" t="s">
        <v>1069</v>
      </c>
      <c r="Q122" s="339"/>
      <c r="R122" s="1807"/>
      <c r="S122" s="1810"/>
      <c r="T122" s="326" t="s">
        <v>932</v>
      </c>
      <c r="U122" s="311" t="str">
        <f t="shared" si="2"/>
        <v>父女弟</v>
      </c>
      <c r="V122" s="318" t="s">
        <v>917</v>
      </c>
      <c r="W122" s="319" t="s">
        <v>917</v>
      </c>
    </row>
    <row r="123" spans="1:23" ht="16.5" customHeight="1">
      <c r="A123" s="1840" t="s">
        <v>493</v>
      </c>
      <c r="B123" s="262" t="s">
        <v>1070</v>
      </c>
      <c r="C123" s="263" t="s">
        <v>967</v>
      </c>
      <c r="E123" s="1874"/>
      <c r="F123" s="180" t="s">
        <v>1071</v>
      </c>
      <c r="G123" s="121" t="s">
        <v>1072</v>
      </c>
      <c r="H123" s="181" t="s">
        <v>1073</v>
      </c>
      <c r="I123" s="217" t="s">
        <v>1074</v>
      </c>
      <c r="Q123" s="339"/>
      <c r="R123" s="1807"/>
      <c r="S123" s="1810"/>
      <c r="T123" s="320" t="s">
        <v>936</v>
      </c>
      <c r="U123" s="321" t="str">
        <f t="shared" si="2"/>
        <v>父女伯父</v>
      </c>
      <c r="V123" s="322" t="s">
        <v>916</v>
      </c>
      <c r="W123" s="323" t="s">
        <v>917</v>
      </c>
    </row>
    <row r="124" spans="1:23" ht="16.5" customHeight="1">
      <c r="A124" s="1841"/>
      <c r="B124" s="264" t="s">
        <v>1075</v>
      </c>
      <c r="C124" s="265" t="s">
        <v>1076</v>
      </c>
      <c r="E124" s="1874"/>
      <c r="F124" s="180" t="s">
        <v>1077</v>
      </c>
      <c r="G124" s="121" t="s">
        <v>1078</v>
      </c>
      <c r="H124" s="181" t="s">
        <v>1079</v>
      </c>
      <c r="I124" s="217" t="s">
        <v>685</v>
      </c>
      <c r="R124" s="1807"/>
      <c r="S124" s="1810"/>
      <c r="T124" s="320" t="s">
        <v>941</v>
      </c>
      <c r="U124" s="321" t="str">
        <f t="shared" si="2"/>
        <v>父女叔父</v>
      </c>
      <c r="V124" s="322" t="s">
        <v>932</v>
      </c>
      <c r="W124" s="323" t="s">
        <v>917</v>
      </c>
    </row>
    <row r="125" spans="1:23" ht="16.5" customHeight="1">
      <c r="A125" s="1841"/>
      <c r="B125" s="264" t="s">
        <v>1080</v>
      </c>
      <c r="C125" s="265" t="s">
        <v>1081</v>
      </c>
      <c r="E125" s="1874"/>
      <c r="F125" s="180" t="s">
        <v>1082</v>
      </c>
      <c r="G125" s="121" t="s">
        <v>1083</v>
      </c>
      <c r="H125" s="181" t="s">
        <v>1084</v>
      </c>
      <c r="I125" s="217" t="s">
        <v>685</v>
      </c>
      <c r="R125" s="1807"/>
      <c r="S125" s="1810"/>
      <c r="T125" s="320" t="s">
        <v>947</v>
      </c>
      <c r="U125" s="321" t="str">
        <f t="shared" si="2"/>
        <v>父女姑妈（大）</v>
      </c>
      <c r="V125" s="322" t="s">
        <v>927</v>
      </c>
      <c r="W125" s="323" t="s">
        <v>917</v>
      </c>
    </row>
    <row r="126" spans="1:23" ht="16.5" customHeight="1">
      <c r="A126" s="1841"/>
      <c r="B126" s="264" t="s">
        <v>1085</v>
      </c>
      <c r="C126" s="265" t="s">
        <v>1086</v>
      </c>
      <c r="E126" s="1874"/>
      <c r="F126" s="180" t="s">
        <v>1087</v>
      </c>
      <c r="G126" s="121" t="s">
        <v>659</v>
      </c>
      <c r="H126" s="181" t="s">
        <v>660</v>
      </c>
      <c r="I126" s="217" t="s">
        <v>661</v>
      </c>
      <c r="R126" s="1807"/>
      <c r="S126" s="1810"/>
      <c r="T126" s="320" t="s">
        <v>951</v>
      </c>
      <c r="U126" s="321" t="str">
        <f t="shared" si="2"/>
        <v>父女姑妈（小）</v>
      </c>
      <c r="V126" s="322" t="s">
        <v>922</v>
      </c>
      <c r="W126" s="323" t="s">
        <v>917</v>
      </c>
    </row>
    <row r="127" spans="1:23" ht="16.5" customHeight="1">
      <c r="A127" s="1841"/>
      <c r="B127" s="264" t="s">
        <v>1088</v>
      </c>
      <c r="C127" s="265" t="s">
        <v>1089</v>
      </c>
      <c r="E127" s="1874"/>
      <c r="F127" s="180" t="s">
        <v>1090</v>
      </c>
      <c r="G127" s="121" t="s">
        <v>1091</v>
      </c>
      <c r="H127" s="181" t="s">
        <v>1092</v>
      </c>
      <c r="I127" s="217" t="s">
        <v>1093</v>
      </c>
      <c r="R127" s="1807"/>
      <c r="S127" s="1810"/>
      <c r="T127" s="320" t="s">
        <v>956</v>
      </c>
      <c r="U127" s="321" t="str">
        <f t="shared" si="2"/>
        <v>父女爷爷</v>
      </c>
      <c r="V127" s="324" t="s">
        <v>511</v>
      </c>
      <c r="W127" s="323" t="s">
        <v>511</v>
      </c>
    </row>
    <row r="128" spans="1:23" ht="16.5" customHeight="1">
      <c r="A128" s="1842"/>
      <c r="B128" s="266" t="s">
        <v>1094</v>
      </c>
      <c r="C128" s="267" t="s">
        <v>1095</v>
      </c>
      <c r="E128" s="1874"/>
      <c r="F128" s="180" t="s">
        <v>1096</v>
      </c>
      <c r="G128" s="121" t="s">
        <v>1097</v>
      </c>
      <c r="H128" s="181" t="s">
        <v>1098</v>
      </c>
      <c r="I128" s="217" t="s">
        <v>685</v>
      </c>
      <c r="R128" s="1807"/>
      <c r="S128" s="1810"/>
      <c r="T128" s="320" t="s">
        <v>962</v>
      </c>
      <c r="U128" s="321" t="str">
        <f t="shared" si="2"/>
        <v>父女奶奶</v>
      </c>
      <c r="V128" s="324" t="s">
        <v>517</v>
      </c>
      <c r="W128" s="325" t="s">
        <v>517</v>
      </c>
    </row>
    <row r="129" spans="1:23" ht="16.5" customHeight="1">
      <c r="A129" s="1843" t="s">
        <v>500</v>
      </c>
      <c r="B129" s="343" t="s">
        <v>950</v>
      </c>
      <c r="C129" s="344" t="s">
        <v>967</v>
      </c>
      <c r="E129" s="1874"/>
      <c r="F129" s="180" t="s">
        <v>1099</v>
      </c>
      <c r="G129" s="121" t="s">
        <v>1100</v>
      </c>
      <c r="H129" s="181" t="s">
        <v>1101</v>
      </c>
      <c r="I129" s="217" t="s">
        <v>1102</v>
      </c>
      <c r="R129" s="1807"/>
      <c r="S129" s="1810"/>
      <c r="T129" s="326" t="s">
        <v>896</v>
      </c>
      <c r="U129" s="311" t="str">
        <f t="shared" si="2"/>
        <v>父女夫</v>
      </c>
      <c r="V129" s="318" t="s">
        <v>968</v>
      </c>
      <c r="W129" s="328" t="s">
        <v>969</v>
      </c>
    </row>
    <row r="130" spans="1:23" ht="16.5" customHeight="1">
      <c r="A130" s="1844"/>
      <c r="B130" s="345" t="s">
        <v>1103</v>
      </c>
      <c r="C130" s="346" t="s">
        <v>1076</v>
      </c>
      <c r="E130" s="1874"/>
      <c r="F130" s="180" t="s">
        <v>1104</v>
      </c>
      <c r="G130" s="121" t="s">
        <v>1105</v>
      </c>
      <c r="H130" s="181" t="s">
        <v>1106</v>
      </c>
      <c r="I130" s="217" t="s">
        <v>1107</v>
      </c>
      <c r="R130" s="1807"/>
      <c r="S130" s="1810"/>
      <c r="T130" s="326" t="s">
        <v>901</v>
      </c>
      <c r="U130" s="311" t="str">
        <f t="shared" si="2"/>
        <v>父女妻</v>
      </c>
      <c r="V130" s="318" t="s">
        <v>973</v>
      </c>
      <c r="W130" s="328" t="s">
        <v>974</v>
      </c>
    </row>
    <row r="131" spans="1:23" ht="16.5" customHeight="1">
      <c r="A131" s="1844"/>
      <c r="B131" s="345" t="s">
        <v>1108</v>
      </c>
      <c r="C131" s="346" t="s">
        <v>1081</v>
      </c>
      <c r="E131" s="1874"/>
      <c r="F131" s="180" t="s">
        <v>1109</v>
      </c>
      <c r="G131" s="121" t="s">
        <v>1110</v>
      </c>
      <c r="H131" s="181" t="s">
        <v>1111</v>
      </c>
      <c r="I131" s="217" t="s">
        <v>685</v>
      </c>
      <c r="J131" s="82"/>
      <c r="P131" s="265" t="s">
        <v>1112</v>
      </c>
      <c r="R131" s="1807"/>
      <c r="S131" s="1810"/>
      <c r="T131" s="329" t="s">
        <v>978</v>
      </c>
      <c r="U131" s="321" t="str">
        <f t="shared" si="2"/>
        <v>父女侄子</v>
      </c>
      <c r="V131" s="324" t="s">
        <v>979</v>
      </c>
      <c r="W131" s="330"/>
    </row>
    <row r="132" spans="1:23" ht="16.5" customHeight="1">
      <c r="A132" s="1844"/>
      <c r="B132" s="345" t="s">
        <v>1113</v>
      </c>
      <c r="C132" s="265" t="s">
        <v>1114</v>
      </c>
      <c r="E132" s="1874"/>
      <c r="F132" s="180" t="s">
        <v>1115</v>
      </c>
      <c r="G132" s="121" t="s">
        <v>1116</v>
      </c>
      <c r="H132" s="181" t="s">
        <v>1117</v>
      </c>
      <c r="I132" s="217" t="s">
        <v>1118</v>
      </c>
      <c r="P132" s="265" t="s">
        <v>1095</v>
      </c>
      <c r="R132" s="1807"/>
      <c r="S132" s="1811"/>
      <c r="T132" s="331" t="s">
        <v>984</v>
      </c>
      <c r="U132" s="332" t="str">
        <f t="shared" si="2"/>
        <v>父女侄女</v>
      </c>
      <c r="V132" s="333" t="s">
        <v>985</v>
      </c>
      <c r="W132" s="334"/>
    </row>
    <row r="133" spans="1:23" ht="16.5" customHeight="1">
      <c r="A133" s="1844"/>
      <c r="B133" s="345" t="s">
        <v>1119</v>
      </c>
      <c r="C133" s="265" t="s">
        <v>1112</v>
      </c>
      <c r="E133" s="1874"/>
      <c r="F133" s="180" t="s">
        <v>1120</v>
      </c>
      <c r="G133" s="121" t="s">
        <v>1121</v>
      </c>
      <c r="H133" s="181" t="s">
        <v>1122</v>
      </c>
      <c r="I133" s="217" t="s">
        <v>685</v>
      </c>
      <c r="P133" s="346" t="s">
        <v>1123</v>
      </c>
      <c r="R133" s="1807"/>
      <c r="S133" s="1814" t="s">
        <v>1124</v>
      </c>
      <c r="T133" s="308" t="s">
        <v>511</v>
      </c>
      <c r="U133" s="309" t="str">
        <f t="shared" ref="U133:U148" si="3">$S$133&amp;T133</f>
        <v>母女父</v>
      </c>
      <c r="V133" s="297" t="s">
        <v>896</v>
      </c>
      <c r="W133" s="298" t="s">
        <v>896</v>
      </c>
    </row>
    <row r="134" spans="1:23" ht="16.5" customHeight="1">
      <c r="A134" s="1844"/>
      <c r="B134" s="345" t="s">
        <v>1095</v>
      </c>
      <c r="C134" s="265" t="s">
        <v>1095</v>
      </c>
      <c r="E134" s="1874"/>
      <c r="F134" s="180" t="s">
        <v>1125</v>
      </c>
      <c r="G134" s="121" t="s">
        <v>1126</v>
      </c>
      <c r="H134" s="181" t="s">
        <v>690</v>
      </c>
      <c r="I134" s="217" t="s">
        <v>691</v>
      </c>
      <c r="P134" s="346" t="s">
        <v>1127</v>
      </c>
      <c r="R134" s="1807"/>
      <c r="S134" s="1812"/>
      <c r="T134" s="310" t="s">
        <v>517</v>
      </c>
      <c r="U134" s="311" t="str">
        <f t="shared" si="3"/>
        <v>母女母</v>
      </c>
      <c r="V134" s="312" t="s">
        <v>901</v>
      </c>
      <c r="W134" s="313" t="s">
        <v>901</v>
      </c>
    </row>
    <row r="135" spans="1:23" ht="16.5" customHeight="1">
      <c r="A135" s="1844"/>
      <c r="B135" s="345" t="s">
        <v>1128</v>
      </c>
      <c r="C135" s="346" t="s">
        <v>1123</v>
      </c>
      <c r="E135" s="1874"/>
      <c r="F135" s="180" t="s">
        <v>1129</v>
      </c>
      <c r="G135" s="121" t="s">
        <v>1130</v>
      </c>
      <c r="H135" s="181" t="s">
        <v>1131</v>
      </c>
      <c r="I135" s="217" t="s">
        <v>1132</v>
      </c>
      <c r="R135" s="1807"/>
      <c r="S135" s="1812"/>
      <c r="T135" s="326" t="s">
        <v>916</v>
      </c>
      <c r="U135" s="311" t="str">
        <f t="shared" si="3"/>
        <v>母女兄</v>
      </c>
      <c r="V135" s="318" t="s">
        <v>917</v>
      </c>
      <c r="W135" s="319" t="s">
        <v>917</v>
      </c>
    </row>
    <row r="136" spans="1:23" ht="16.5" customHeight="1">
      <c r="A136" s="1845"/>
      <c r="B136" s="345" t="s">
        <v>1133</v>
      </c>
      <c r="C136" s="346" t="s">
        <v>1127</v>
      </c>
      <c r="E136" s="1874"/>
      <c r="F136" s="180" t="s">
        <v>1134</v>
      </c>
      <c r="G136" s="121" t="s">
        <v>1135</v>
      </c>
      <c r="H136" s="181" t="s">
        <v>1136</v>
      </c>
      <c r="I136" s="217" t="s">
        <v>1137</v>
      </c>
      <c r="R136" s="1807"/>
      <c r="S136" s="1812"/>
      <c r="T136" s="326" t="s">
        <v>922</v>
      </c>
      <c r="U136" s="311" t="str">
        <f t="shared" si="3"/>
        <v>母女妹</v>
      </c>
      <c r="V136" s="318" t="s">
        <v>917</v>
      </c>
      <c r="W136" s="319" t="s">
        <v>917</v>
      </c>
    </row>
    <row r="137" spans="1:23" ht="16.5" customHeight="1">
      <c r="A137" s="1846" t="s">
        <v>509</v>
      </c>
      <c r="B137" s="347" t="s">
        <v>955</v>
      </c>
      <c r="C137" s="344" t="s">
        <v>967</v>
      </c>
      <c r="E137" s="1874"/>
      <c r="F137" s="180" t="s">
        <v>1138</v>
      </c>
      <c r="G137" s="121" t="s">
        <v>1139</v>
      </c>
      <c r="H137" s="181" t="s">
        <v>1140</v>
      </c>
      <c r="I137" s="217" t="s">
        <v>685</v>
      </c>
      <c r="R137" s="1807"/>
      <c r="S137" s="1812"/>
      <c r="T137" s="326" t="s">
        <v>927</v>
      </c>
      <c r="U137" s="311" t="str">
        <f t="shared" si="3"/>
        <v>母女姐</v>
      </c>
      <c r="V137" s="318" t="s">
        <v>917</v>
      </c>
      <c r="W137" s="319" t="s">
        <v>917</v>
      </c>
    </row>
    <row r="138" spans="1:23" ht="16.5" customHeight="1">
      <c r="A138" s="1847"/>
      <c r="B138" s="348" t="s">
        <v>1141</v>
      </c>
      <c r="C138" s="346" t="s">
        <v>1076</v>
      </c>
      <c r="E138" s="1874"/>
      <c r="F138" s="180" t="s">
        <v>1142</v>
      </c>
      <c r="G138" s="121" t="s">
        <v>1143</v>
      </c>
      <c r="H138" s="181" t="s">
        <v>1144</v>
      </c>
      <c r="I138" s="217" t="s">
        <v>1145</v>
      </c>
      <c r="R138" s="1807"/>
      <c r="S138" s="1812"/>
      <c r="T138" s="326" t="s">
        <v>932</v>
      </c>
      <c r="U138" s="311" t="str">
        <f t="shared" si="3"/>
        <v>母女弟</v>
      </c>
      <c r="V138" s="318" t="s">
        <v>917</v>
      </c>
      <c r="W138" s="319" t="s">
        <v>917</v>
      </c>
    </row>
    <row r="139" spans="1:23" ht="16.5" customHeight="1">
      <c r="A139" s="1847"/>
      <c r="B139" s="348" t="s">
        <v>1146</v>
      </c>
      <c r="C139" s="346" t="s">
        <v>1081</v>
      </c>
      <c r="E139" s="1874"/>
      <c r="F139" s="180" t="s">
        <v>1147</v>
      </c>
      <c r="G139" s="121" t="s">
        <v>1148</v>
      </c>
      <c r="H139" s="181" t="s">
        <v>1149</v>
      </c>
      <c r="I139" s="217" t="s">
        <v>1150</v>
      </c>
      <c r="R139" s="1807"/>
      <c r="S139" s="1812"/>
      <c r="T139" s="320" t="s">
        <v>1008</v>
      </c>
      <c r="U139" s="321" t="str">
        <f t="shared" si="3"/>
        <v>母女舅父（大）</v>
      </c>
      <c r="V139" s="335" t="s">
        <v>916</v>
      </c>
      <c r="W139" s="323" t="s">
        <v>917</v>
      </c>
    </row>
    <row r="140" spans="1:23" ht="16.5" customHeight="1">
      <c r="A140" s="1847"/>
      <c r="B140" s="345" t="s">
        <v>1151</v>
      </c>
      <c r="C140" s="346" t="s">
        <v>1152</v>
      </c>
      <c r="E140" s="1874"/>
      <c r="F140" s="180" t="s">
        <v>1153</v>
      </c>
      <c r="G140" s="121" t="s">
        <v>1154</v>
      </c>
      <c r="H140" s="181" t="s">
        <v>1155</v>
      </c>
      <c r="I140" s="217" t="s">
        <v>1156</v>
      </c>
      <c r="R140" s="1807"/>
      <c r="S140" s="1812"/>
      <c r="T140" s="320" t="s">
        <v>1013</v>
      </c>
      <c r="U140" s="321" t="str">
        <f t="shared" si="3"/>
        <v>母女舅父（小）</v>
      </c>
      <c r="V140" s="335" t="s">
        <v>932</v>
      </c>
      <c r="W140" s="323" t="s">
        <v>917</v>
      </c>
    </row>
    <row r="141" spans="1:23" ht="16.5" customHeight="1">
      <c r="A141" s="1847"/>
      <c r="B141" s="348" t="s">
        <v>1157</v>
      </c>
      <c r="C141" s="265" t="s">
        <v>1089</v>
      </c>
      <c r="E141" s="1874"/>
      <c r="F141" s="180" t="s">
        <v>1158</v>
      </c>
      <c r="G141" s="121" t="s">
        <v>1159</v>
      </c>
      <c r="H141" s="181" t="s">
        <v>1160</v>
      </c>
      <c r="I141" s="217" t="s">
        <v>960</v>
      </c>
      <c r="R141" s="1807"/>
      <c r="S141" s="1812"/>
      <c r="T141" s="320" t="s">
        <v>1016</v>
      </c>
      <c r="U141" s="321" t="str">
        <f t="shared" si="3"/>
        <v>母女姨母（大）</v>
      </c>
      <c r="V141" s="335" t="s">
        <v>927</v>
      </c>
      <c r="W141" s="323" t="s">
        <v>917</v>
      </c>
    </row>
    <row r="142" spans="1:23" ht="16.5" customHeight="1">
      <c r="A142" s="1847"/>
      <c r="B142" s="348" t="s">
        <v>1161</v>
      </c>
      <c r="C142" s="346" t="s">
        <v>1086</v>
      </c>
      <c r="E142" s="1874"/>
      <c r="F142" s="180" t="s">
        <v>1162</v>
      </c>
      <c r="G142" s="121" t="s">
        <v>1163</v>
      </c>
      <c r="H142" s="181" t="s">
        <v>1164</v>
      </c>
      <c r="I142" s="217" t="s">
        <v>1165</v>
      </c>
      <c r="R142" s="1807"/>
      <c r="S142" s="1812"/>
      <c r="T142" s="320" t="s">
        <v>1021</v>
      </c>
      <c r="U142" s="321" t="str">
        <f t="shared" si="3"/>
        <v>母女姨母（小）</v>
      </c>
      <c r="V142" s="335" t="s">
        <v>922</v>
      </c>
      <c r="W142" s="323" t="s">
        <v>917</v>
      </c>
    </row>
    <row r="143" spans="1:23" ht="16.5" customHeight="1">
      <c r="A143" s="1847"/>
      <c r="B143" s="349" t="s">
        <v>1166</v>
      </c>
      <c r="C143" s="206" t="s">
        <v>1095</v>
      </c>
      <c r="E143" s="1874"/>
      <c r="F143" s="180" t="s">
        <v>1167</v>
      </c>
      <c r="G143" s="121" t="s">
        <v>1168</v>
      </c>
      <c r="H143" s="181" t="s">
        <v>1169</v>
      </c>
      <c r="I143" s="217" t="s">
        <v>1170</v>
      </c>
      <c r="R143" s="1807"/>
      <c r="S143" s="1812"/>
      <c r="T143" s="320" t="s">
        <v>1026</v>
      </c>
      <c r="U143" s="321" t="str">
        <f t="shared" si="3"/>
        <v>母女姥姥</v>
      </c>
      <c r="V143" s="324" t="s">
        <v>511</v>
      </c>
      <c r="W143" s="336" t="s">
        <v>511</v>
      </c>
    </row>
    <row r="144" spans="1:23" ht="16.5" customHeight="1">
      <c r="A144" s="1848" t="s">
        <v>516</v>
      </c>
      <c r="B144" s="350" t="s">
        <v>961</v>
      </c>
      <c r="C144" s="344" t="s">
        <v>967</v>
      </c>
      <c r="E144" s="1874"/>
      <c r="F144" s="180" t="s">
        <v>1171</v>
      </c>
      <c r="G144" s="121" t="s">
        <v>1172</v>
      </c>
      <c r="H144" s="181" t="s">
        <v>1173</v>
      </c>
      <c r="I144" s="217" t="s">
        <v>1174</v>
      </c>
      <c r="R144" s="1807"/>
      <c r="S144" s="1812"/>
      <c r="T144" s="320" t="s">
        <v>1031</v>
      </c>
      <c r="U144" s="321" t="str">
        <f t="shared" si="3"/>
        <v>母女姥爷</v>
      </c>
      <c r="V144" s="324" t="s">
        <v>517</v>
      </c>
      <c r="W144" s="336" t="s">
        <v>517</v>
      </c>
    </row>
    <row r="145" spans="1:23" ht="16.5" customHeight="1">
      <c r="A145" s="1849"/>
      <c r="B145" s="345" t="s">
        <v>1175</v>
      </c>
      <c r="C145" s="346" t="s">
        <v>1076</v>
      </c>
      <c r="E145" s="1874"/>
      <c r="F145" s="180" t="s">
        <v>1176</v>
      </c>
      <c r="G145" s="121" t="s">
        <v>1177</v>
      </c>
      <c r="H145" s="181" t="s">
        <v>1178</v>
      </c>
      <c r="I145" s="217" t="s">
        <v>1179</v>
      </c>
      <c r="R145" s="1807"/>
      <c r="S145" s="1812"/>
      <c r="T145" s="326" t="s">
        <v>896</v>
      </c>
      <c r="U145" s="311" t="str">
        <f t="shared" si="3"/>
        <v>母女夫</v>
      </c>
      <c r="V145" s="318" t="s">
        <v>968</v>
      </c>
      <c r="W145" s="337" t="s">
        <v>969</v>
      </c>
    </row>
    <row r="146" spans="1:23" ht="16.5" customHeight="1">
      <c r="A146" s="1849"/>
      <c r="B146" s="345" t="s">
        <v>1180</v>
      </c>
      <c r="C146" s="346" t="s">
        <v>1081</v>
      </c>
      <c r="D146" s="162"/>
      <c r="E146" s="1874"/>
      <c r="F146" s="180" t="s">
        <v>1181</v>
      </c>
      <c r="G146" s="121" t="s">
        <v>1182</v>
      </c>
      <c r="H146" s="181" t="s">
        <v>1183</v>
      </c>
      <c r="I146" s="217" t="s">
        <v>685</v>
      </c>
      <c r="R146" s="1807"/>
      <c r="S146" s="1812"/>
      <c r="T146" s="326" t="s">
        <v>901</v>
      </c>
      <c r="U146" s="311" t="str">
        <f t="shared" si="3"/>
        <v>母女妻</v>
      </c>
      <c r="V146" s="318" t="s">
        <v>973</v>
      </c>
      <c r="W146" s="337" t="s">
        <v>974</v>
      </c>
    </row>
    <row r="147" spans="1:23" ht="16.5" customHeight="1">
      <c r="A147" s="1849"/>
      <c r="B147" s="345" t="s">
        <v>1184</v>
      </c>
      <c r="C147" s="346" t="s">
        <v>1086</v>
      </c>
      <c r="E147" s="1874"/>
      <c r="F147" s="180" t="s">
        <v>1185</v>
      </c>
      <c r="G147" s="121" t="s">
        <v>1186</v>
      </c>
      <c r="H147" s="181" t="s">
        <v>690</v>
      </c>
      <c r="I147" s="217" t="s">
        <v>960</v>
      </c>
      <c r="R147" s="1807"/>
      <c r="S147" s="1812"/>
      <c r="T147" s="329" t="s">
        <v>978</v>
      </c>
      <c r="U147" s="321" t="str">
        <f t="shared" si="3"/>
        <v>母女侄子</v>
      </c>
      <c r="V147" s="324" t="s">
        <v>979</v>
      </c>
      <c r="W147" s="336"/>
    </row>
    <row r="148" spans="1:23" ht="16.5" customHeight="1">
      <c r="A148" s="1850"/>
      <c r="B148" s="351" t="s">
        <v>1187</v>
      </c>
      <c r="C148" s="206" t="s">
        <v>1095</v>
      </c>
      <c r="E148" s="1874"/>
      <c r="F148" s="180" t="s">
        <v>1188</v>
      </c>
      <c r="G148" s="121" t="s">
        <v>1189</v>
      </c>
      <c r="H148" s="181" t="s">
        <v>1190</v>
      </c>
      <c r="I148" s="217" t="s">
        <v>1191</v>
      </c>
      <c r="R148" s="1807"/>
      <c r="S148" s="1815"/>
      <c r="T148" s="331" t="s">
        <v>984</v>
      </c>
      <c r="U148" s="384" t="str">
        <f t="shared" si="3"/>
        <v>母女侄女</v>
      </c>
      <c r="V148" s="333" t="s">
        <v>985</v>
      </c>
      <c r="W148" s="338"/>
    </row>
    <row r="149" spans="1:23" ht="16.5" customHeight="1">
      <c r="A149" s="1851" t="s">
        <v>518</v>
      </c>
      <c r="B149" s="343" t="s">
        <v>967</v>
      </c>
      <c r="C149" s="344" t="s">
        <v>967</v>
      </c>
      <c r="E149" s="1874"/>
      <c r="F149" s="180" t="s">
        <v>1192</v>
      </c>
      <c r="G149" s="121" t="s">
        <v>1193</v>
      </c>
      <c r="H149" s="181" t="s">
        <v>1194</v>
      </c>
      <c r="I149" s="217" t="s">
        <v>1195</v>
      </c>
      <c r="R149" s="1807"/>
      <c r="S149" s="1812" t="s">
        <v>26</v>
      </c>
      <c r="T149" s="385" t="s">
        <v>511</v>
      </c>
      <c r="U149" s="311" t="str">
        <f t="shared" ref="U149:U164" si="4">$S$149&amp;T149</f>
        <v>作成者父</v>
      </c>
      <c r="V149" s="386" t="s">
        <v>511</v>
      </c>
      <c r="W149" s="387" t="s">
        <v>896</v>
      </c>
    </row>
    <row r="150" spans="1:23" ht="16.5" customHeight="1">
      <c r="A150" s="1852"/>
      <c r="B150" s="345" t="s">
        <v>1076</v>
      </c>
      <c r="C150" s="346" t="s">
        <v>1076</v>
      </c>
      <c r="E150" s="1874"/>
      <c r="F150" s="180" t="s">
        <v>1196</v>
      </c>
      <c r="G150" s="121" t="s">
        <v>1197</v>
      </c>
      <c r="H150" s="181" t="s">
        <v>1198</v>
      </c>
      <c r="I150" s="217" t="s">
        <v>1199</v>
      </c>
      <c r="R150" s="1807"/>
      <c r="S150" s="1812"/>
      <c r="T150" s="310" t="s">
        <v>517</v>
      </c>
      <c r="U150" s="311" t="str">
        <f t="shared" si="4"/>
        <v>作成者母</v>
      </c>
      <c r="V150" s="312" t="s">
        <v>517</v>
      </c>
      <c r="W150" s="313" t="s">
        <v>901</v>
      </c>
    </row>
    <row r="151" spans="1:23" ht="16.5" customHeight="1">
      <c r="A151" s="1852"/>
      <c r="B151" s="345" t="s">
        <v>1081</v>
      </c>
      <c r="C151" s="346" t="s">
        <v>1081</v>
      </c>
      <c r="E151" s="1874"/>
      <c r="F151" s="180" t="s">
        <v>1200</v>
      </c>
      <c r="G151" s="121" t="s">
        <v>1201</v>
      </c>
      <c r="H151" s="181" t="s">
        <v>1202</v>
      </c>
      <c r="I151" s="217" t="s">
        <v>1203</v>
      </c>
      <c r="R151" s="1807"/>
      <c r="S151" s="1812"/>
      <c r="T151" s="326" t="s">
        <v>916</v>
      </c>
      <c r="U151" s="311" t="str">
        <f t="shared" si="4"/>
        <v>作成者兄</v>
      </c>
      <c r="V151" s="318" t="s">
        <v>916</v>
      </c>
      <c r="W151" s="319" t="s">
        <v>917</v>
      </c>
    </row>
    <row r="152" spans="1:23" ht="16.5" customHeight="1">
      <c r="A152" s="1852"/>
      <c r="B152" s="345" t="s">
        <v>1152</v>
      </c>
      <c r="C152" s="346" t="s">
        <v>1152</v>
      </c>
      <c r="E152" s="1874"/>
      <c r="F152" s="180" t="s">
        <v>1204</v>
      </c>
      <c r="G152" s="121" t="s">
        <v>1205</v>
      </c>
      <c r="H152" s="181" t="s">
        <v>1048</v>
      </c>
      <c r="I152" s="217" t="s">
        <v>1206</v>
      </c>
      <c r="R152" s="1807"/>
      <c r="S152" s="1812"/>
      <c r="T152" s="326" t="s">
        <v>922</v>
      </c>
      <c r="U152" s="311" t="str">
        <f t="shared" si="4"/>
        <v>作成者妹</v>
      </c>
      <c r="V152" s="318" t="s">
        <v>922</v>
      </c>
      <c r="W152" s="319" t="s">
        <v>917</v>
      </c>
    </row>
    <row r="153" spans="1:23" ht="16.5" customHeight="1">
      <c r="A153" s="1852"/>
      <c r="B153" s="345" t="s">
        <v>1207</v>
      </c>
      <c r="C153" s="346" t="s">
        <v>1207</v>
      </c>
      <c r="E153" s="1874"/>
      <c r="F153" s="180" t="s">
        <v>1208</v>
      </c>
      <c r="G153" s="121" t="s">
        <v>1209</v>
      </c>
      <c r="H153" s="181" t="s">
        <v>690</v>
      </c>
      <c r="I153" s="217" t="s">
        <v>691</v>
      </c>
      <c r="R153" s="1807"/>
      <c r="S153" s="1812"/>
      <c r="T153" s="326" t="s">
        <v>927</v>
      </c>
      <c r="U153" s="311" t="str">
        <f t="shared" si="4"/>
        <v>作成者姐</v>
      </c>
      <c r="V153" s="318" t="s">
        <v>927</v>
      </c>
      <c r="W153" s="319" t="s">
        <v>917</v>
      </c>
    </row>
    <row r="154" spans="1:23" ht="16.5" customHeight="1">
      <c r="A154" s="1852"/>
      <c r="B154" s="345" t="s">
        <v>1086</v>
      </c>
      <c r="C154" s="346" t="s">
        <v>1086</v>
      </c>
      <c r="E154" s="1874"/>
      <c r="F154" s="180" t="s">
        <v>1210</v>
      </c>
      <c r="G154" s="121" t="s">
        <v>1211</v>
      </c>
      <c r="H154" s="181" t="s">
        <v>1212</v>
      </c>
      <c r="I154" s="217" t="s">
        <v>1213</v>
      </c>
      <c r="R154" s="1807"/>
      <c r="S154" s="1812"/>
      <c r="T154" s="326" t="s">
        <v>932</v>
      </c>
      <c r="U154" s="311" t="str">
        <f t="shared" si="4"/>
        <v>作成者弟</v>
      </c>
      <c r="V154" s="318" t="s">
        <v>932</v>
      </c>
      <c r="W154" s="319" t="s">
        <v>917</v>
      </c>
    </row>
    <row r="155" spans="1:23" ht="16.5" customHeight="1">
      <c r="A155" s="1853"/>
      <c r="B155" s="352" t="s">
        <v>1214</v>
      </c>
      <c r="C155" s="208" t="s">
        <v>1095</v>
      </c>
      <c r="E155" s="1874"/>
      <c r="F155" s="180" t="s">
        <v>1215</v>
      </c>
      <c r="G155" s="121" t="s">
        <v>1216</v>
      </c>
      <c r="H155" s="181" t="s">
        <v>1217</v>
      </c>
      <c r="I155" s="217" t="s">
        <v>1218</v>
      </c>
      <c r="R155" s="1807"/>
      <c r="S155" s="1812"/>
      <c r="T155" s="320" t="s">
        <v>1008</v>
      </c>
      <c r="U155" s="321" t="str">
        <f t="shared" si="4"/>
        <v>作成者舅父（大）</v>
      </c>
      <c r="V155" s="335" t="s">
        <v>1008</v>
      </c>
      <c r="W155" s="325" t="s">
        <v>916</v>
      </c>
    </row>
    <row r="156" spans="1:23" ht="16.5" customHeight="1">
      <c r="E156" s="1874"/>
      <c r="F156" s="180" t="s">
        <v>1219</v>
      </c>
      <c r="G156" s="121" t="s">
        <v>1220</v>
      </c>
      <c r="H156" s="181" t="s">
        <v>1221</v>
      </c>
      <c r="I156" s="217" t="s">
        <v>1222</v>
      </c>
      <c r="R156" s="1807"/>
      <c r="S156" s="1812"/>
      <c r="T156" s="320" t="s">
        <v>1013</v>
      </c>
      <c r="U156" s="321" t="str">
        <f t="shared" si="4"/>
        <v>作成者舅父（小）</v>
      </c>
      <c r="V156" s="335" t="s">
        <v>1013</v>
      </c>
      <c r="W156" s="325" t="s">
        <v>932</v>
      </c>
    </row>
    <row r="157" spans="1:23" ht="16.5" customHeight="1">
      <c r="E157" s="1874"/>
      <c r="F157" s="180" t="s">
        <v>1223</v>
      </c>
      <c r="G157" s="121" t="s">
        <v>1224</v>
      </c>
      <c r="H157" s="181" t="s">
        <v>1225</v>
      </c>
      <c r="I157" s="217" t="s">
        <v>1226</v>
      </c>
      <c r="R157" s="1807"/>
      <c r="S157" s="1812"/>
      <c r="T157" s="320" t="s">
        <v>1016</v>
      </c>
      <c r="U157" s="321" t="str">
        <f t="shared" si="4"/>
        <v>作成者姨母（大）</v>
      </c>
      <c r="V157" s="335" t="s">
        <v>1016</v>
      </c>
      <c r="W157" s="323" t="s">
        <v>1227</v>
      </c>
    </row>
    <row r="158" spans="1:23" ht="16.5" customHeight="1">
      <c r="E158" s="1874"/>
      <c r="F158" s="180" t="s">
        <v>1228</v>
      </c>
      <c r="G158" s="121" t="s">
        <v>1229</v>
      </c>
      <c r="H158" s="181" t="s">
        <v>1230</v>
      </c>
      <c r="I158" s="217" t="s">
        <v>685</v>
      </c>
      <c r="R158" s="1807"/>
      <c r="S158" s="1812"/>
      <c r="T158" s="320" t="s">
        <v>1021</v>
      </c>
      <c r="U158" s="321" t="str">
        <f t="shared" si="4"/>
        <v>作成者姨母（小）</v>
      </c>
      <c r="V158" s="335" t="s">
        <v>1021</v>
      </c>
      <c r="W158" s="336" t="s">
        <v>922</v>
      </c>
    </row>
    <row r="159" spans="1:23" ht="16.5" customHeight="1">
      <c r="A159" s="1816" t="s">
        <v>330</v>
      </c>
      <c r="B159" s="1817"/>
      <c r="C159" s="1818"/>
      <c r="E159" s="1874"/>
      <c r="F159" s="180" t="s">
        <v>1231</v>
      </c>
      <c r="G159" s="121" t="s">
        <v>1232</v>
      </c>
      <c r="H159" s="181" t="s">
        <v>1233</v>
      </c>
      <c r="I159" s="217" t="s">
        <v>685</v>
      </c>
      <c r="R159" s="1807"/>
      <c r="S159" s="1812"/>
      <c r="T159" s="320" t="s">
        <v>1026</v>
      </c>
      <c r="U159" s="321" t="str">
        <f t="shared" si="4"/>
        <v>作成者姥姥</v>
      </c>
      <c r="V159" s="324" t="s">
        <v>1026</v>
      </c>
      <c r="W159" s="336" t="s">
        <v>511</v>
      </c>
    </row>
    <row r="160" spans="1:23" ht="16.5" customHeight="1">
      <c r="A160" s="1854" t="s">
        <v>331</v>
      </c>
      <c r="B160" s="353" t="s">
        <v>1234</v>
      </c>
      <c r="C160" s="354" t="s">
        <v>1235</v>
      </c>
      <c r="E160" s="1874"/>
      <c r="F160" s="180" t="s">
        <v>1236</v>
      </c>
      <c r="G160" s="121" t="s">
        <v>1237</v>
      </c>
      <c r="H160" s="181" t="s">
        <v>1238</v>
      </c>
      <c r="I160" s="217" t="s">
        <v>685</v>
      </c>
      <c r="R160" s="1807"/>
      <c r="S160" s="1812"/>
      <c r="T160" s="320" t="s">
        <v>1031</v>
      </c>
      <c r="U160" s="321" t="str">
        <f t="shared" si="4"/>
        <v>作成者姥爷</v>
      </c>
      <c r="V160" s="324" t="s">
        <v>1031</v>
      </c>
      <c r="W160" s="336" t="s">
        <v>517</v>
      </c>
    </row>
    <row r="161" spans="1:23" ht="16.5" customHeight="1">
      <c r="A161" s="1855"/>
      <c r="B161" s="355" t="s">
        <v>1239</v>
      </c>
      <c r="C161" s="356" t="s">
        <v>1240</v>
      </c>
      <c r="E161" s="1874"/>
      <c r="F161" s="180" t="s">
        <v>1241</v>
      </c>
      <c r="G161" s="121" t="s">
        <v>1242</v>
      </c>
      <c r="H161" s="181" t="s">
        <v>1243</v>
      </c>
      <c r="I161" s="217" t="s">
        <v>1244</v>
      </c>
      <c r="R161" s="1807"/>
      <c r="S161" s="1812"/>
      <c r="T161" s="326" t="s">
        <v>896</v>
      </c>
      <c r="U161" s="311" t="str">
        <f t="shared" si="4"/>
        <v>作成者夫</v>
      </c>
      <c r="V161" s="318" t="s">
        <v>896</v>
      </c>
      <c r="W161" s="337" t="s">
        <v>969</v>
      </c>
    </row>
    <row r="162" spans="1:23" ht="16.5" customHeight="1">
      <c r="A162" s="1855"/>
      <c r="B162" s="355" t="s">
        <v>1245</v>
      </c>
      <c r="C162" s="356" t="s">
        <v>1246</v>
      </c>
      <c r="E162" s="1874"/>
      <c r="F162" s="180" t="s">
        <v>1247</v>
      </c>
      <c r="G162" s="121" t="s">
        <v>1248</v>
      </c>
      <c r="H162" s="181" t="s">
        <v>1249</v>
      </c>
      <c r="I162" s="217" t="s">
        <v>1250</v>
      </c>
      <c r="R162" s="1807"/>
      <c r="S162" s="1812"/>
      <c r="T162" s="326" t="s">
        <v>901</v>
      </c>
      <c r="U162" s="311" t="str">
        <f t="shared" si="4"/>
        <v>作成者妻</v>
      </c>
      <c r="V162" s="318" t="s">
        <v>901</v>
      </c>
      <c r="W162" s="337" t="s">
        <v>974</v>
      </c>
    </row>
    <row r="163" spans="1:23" ht="16.5" customHeight="1">
      <c r="A163" s="1855"/>
      <c r="B163" s="355" t="s">
        <v>1251</v>
      </c>
      <c r="C163" s="356" t="s">
        <v>1252</v>
      </c>
      <c r="E163" s="1874"/>
      <c r="F163" s="180" t="s">
        <v>1253</v>
      </c>
      <c r="G163" s="121" t="s">
        <v>1254</v>
      </c>
      <c r="H163" s="181" t="s">
        <v>1255</v>
      </c>
      <c r="I163" s="217" t="s">
        <v>1074</v>
      </c>
      <c r="R163" s="1807"/>
      <c r="S163" s="1812"/>
      <c r="T163" s="329" t="s">
        <v>978</v>
      </c>
      <c r="U163" s="321" t="str">
        <f t="shared" si="4"/>
        <v>作成者侄子</v>
      </c>
      <c r="V163" s="324" t="s">
        <v>978</v>
      </c>
      <c r="W163" s="336"/>
    </row>
    <row r="164" spans="1:23" ht="16.5" customHeight="1">
      <c r="A164" s="1855"/>
      <c r="B164" s="355" t="s">
        <v>1256</v>
      </c>
      <c r="C164" s="356" t="s">
        <v>1257</v>
      </c>
      <c r="E164" s="1874"/>
      <c r="F164" s="180" t="s">
        <v>1258</v>
      </c>
      <c r="G164" s="121" t="s">
        <v>672</v>
      </c>
      <c r="H164" s="181" t="s">
        <v>673</v>
      </c>
      <c r="I164" s="217" t="s">
        <v>674</v>
      </c>
      <c r="R164" s="1808"/>
      <c r="S164" s="1813"/>
      <c r="T164" s="388" t="s">
        <v>984</v>
      </c>
      <c r="U164" s="389" t="str">
        <f t="shared" si="4"/>
        <v>作成者侄女</v>
      </c>
      <c r="V164" s="390" t="s">
        <v>984</v>
      </c>
      <c r="W164" s="391"/>
    </row>
    <row r="165" spans="1:23" ht="16.5" customHeight="1">
      <c r="A165" s="1855"/>
      <c r="B165" s="355" t="s">
        <v>1259</v>
      </c>
      <c r="C165" s="356" t="s">
        <v>1260</v>
      </c>
      <c r="E165" s="1874"/>
      <c r="F165" s="180" t="s">
        <v>1261</v>
      </c>
      <c r="G165" s="121" t="s">
        <v>1262</v>
      </c>
      <c r="H165" s="181" t="s">
        <v>1263</v>
      </c>
      <c r="I165" s="217" t="s">
        <v>1264</v>
      </c>
    </row>
    <row r="166" spans="1:23" ht="16.5" customHeight="1">
      <c r="A166" s="1855"/>
      <c r="B166" s="355" t="s">
        <v>1265</v>
      </c>
      <c r="C166" s="356" t="s">
        <v>1266</v>
      </c>
      <c r="E166" s="1874"/>
      <c r="F166" s="180" t="s">
        <v>1267</v>
      </c>
      <c r="G166" s="121" t="s">
        <v>1268</v>
      </c>
      <c r="H166" s="181" t="s">
        <v>1269</v>
      </c>
      <c r="I166" s="217" t="s">
        <v>1270</v>
      </c>
    </row>
    <row r="167" spans="1:23" ht="16.5" customHeight="1">
      <c r="A167" s="1855"/>
      <c r="B167" s="355" t="s">
        <v>1271</v>
      </c>
      <c r="C167" s="356" t="s">
        <v>1272</v>
      </c>
      <c r="E167" s="1874"/>
      <c r="F167" s="180" t="s">
        <v>1273</v>
      </c>
      <c r="G167" s="121" t="s">
        <v>1274</v>
      </c>
      <c r="H167" s="181" t="s">
        <v>1275</v>
      </c>
      <c r="I167" s="217" t="s">
        <v>960</v>
      </c>
      <c r="K167" s="379"/>
      <c r="L167" s="380"/>
    </row>
    <row r="168" spans="1:23" ht="16.5" customHeight="1">
      <c r="A168" s="1855"/>
      <c r="B168" s="357" t="s">
        <v>1276</v>
      </c>
      <c r="C168" s="358" t="s">
        <v>1277</v>
      </c>
      <c r="E168" s="1874"/>
      <c r="F168" s="180" t="s">
        <v>1278</v>
      </c>
      <c r="G168" s="121" t="s">
        <v>1279</v>
      </c>
      <c r="H168" s="181" t="s">
        <v>1280</v>
      </c>
      <c r="I168" s="217" t="s">
        <v>1281</v>
      </c>
      <c r="K168" s="379"/>
      <c r="L168" s="380"/>
      <c r="Q168" s="161"/>
    </row>
    <row r="169" spans="1:23" ht="16.5" customHeight="1">
      <c r="A169" s="1856"/>
      <c r="B169" s="142" t="s">
        <v>1282</v>
      </c>
      <c r="C169" s="359" t="s">
        <v>1283</v>
      </c>
      <c r="E169" s="1874"/>
      <c r="F169" s="180" t="s">
        <v>1284</v>
      </c>
      <c r="G169" s="121" t="s">
        <v>1285</v>
      </c>
      <c r="H169" s="181" t="s">
        <v>1286</v>
      </c>
      <c r="I169" s="217" t="s">
        <v>1287</v>
      </c>
      <c r="K169" s="379"/>
      <c r="L169" s="380"/>
      <c r="Q169" s="161"/>
    </row>
    <row r="170" spans="1:23" ht="16.5" customHeight="1">
      <c r="A170" s="1857" t="s">
        <v>340</v>
      </c>
      <c r="B170" s="145" t="s">
        <v>1246</v>
      </c>
      <c r="C170" s="360" t="s">
        <v>1246</v>
      </c>
      <c r="E170" s="1874"/>
      <c r="F170" s="180" t="s">
        <v>1288</v>
      </c>
      <c r="G170" s="121" t="s">
        <v>1289</v>
      </c>
      <c r="H170" s="181" t="s">
        <v>1290</v>
      </c>
      <c r="I170" s="217" t="s">
        <v>1291</v>
      </c>
      <c r="K170" s="379"/>
      <c r="L170" s="380"/>
    </row>
    <row r="171" spans="1:23" ht="16.5" customHeight="1">
      <c r="A171" s="1858"/>
      <c r="B171" s="147" t="s">
        <v>1292</v>
      </c>
      <c r="C171" s="356" t="s">
        <v>1257</v>
      </c>
      <c r="E171" s="1874"/>
      <c r="F171" s="180" t="s">
        <v>1293</v>
      </c>
      <c r="G171" s="121" t="s">
        <v>1294</v>
      </c>
      <c r="H171" s="181" t="s">
        <v>1295</v>
      </c>
      <c r="I171" s="217" t="s">
        <v>1296</v>
      </c>
      <c r="K171" s="379"/>
      <c r="L171" s="380"/>
    </row>
    <row r="172" spans="1:23" ht="16.5" customHeight="1">
      <c r="A172" s="1858"/>
      <c r="B172" s="147" t="s">
        <v>1240</v>
      </c>
      <c r="C172" s="356" t="s">
        <v>1240</v>
      </c>
      <c r="E172" s="1874"/>
      <c r="F172" s="180" t="s">
        <v>1297</v>
      </c>
      <c r="G172" s="121" t="s">
        <v>1298</v>
      </c>
      <c r="H172" s="181" t="s">
        <v>1299</v>
      </c>
      <c r="I172" s="217" t="s">
        <v>1300</v>
      </c>
      <c r="K172" s="379"/>
      <c r="L172" s="380"/>
    </row>
    <row r="173" spans="1:23" ht="16.5" customHeight="1">
      <c r="A173" s="1858"/>
      <c r="B173" s="147" t="s">
        <v>1301</v>
      </c>
      <c r="C173" s="358" t="s">
        <v>1277</v>
      </c>
      <c r="E173" s="1874"/>
      <c r="F173" s="671" t="s">
        <v>1845</v>
      </c>
      <c r="G173" s="672" t="s">
        <v>1846</v>
      </c>
      <c r="H173" s="181" t="s">
        <v>690</v>
      </c>
      <c r="I173" s="217" t="s">
        <v>960</v>
      </c>
      <c r="K173" s="379"/>
      <c r="L173" s="161"/>
    </row>
    <row r="174" spans="1:23" ht="16.5" customHeight="1">
      <c r="A174" s="1858"/>
      <c r="B174" s="147" t="s">
        <v>1302</v>
      </c>
      <c r="C174" s="358" t="s">
        <v>1302</v>
      </c>
      <c r="E174" s="1874"/>
      <c r="F174" s="180" t="s">
        <v>1303</v>
      </c>
      <c r="G174" s="121" t="s">
        <v>1304</v>
      </c>
      <c r="H174" s="181" t="s">
        <v>1305</v>
      </c>
      <c r="I174" s="217" t="s">
        <v>1306</v>
      </c>
      <c r="K174" s="379"/>
      <c r="L174" s="161"/>
    </row>
    <row r="175" spans="1:23" ht="16.5" customHeight="1">
      <c r="A175" s="1859"/>
      <c r="B175" s="361" t="s">
        <v>1307</v>
      </c>
      <c r="C175" s="362" t="s">
        <v>1308</v>
      </c>
      <c r="E175" s="1874"/>
      <c r="F175" s="180" t="s">
        <v>1309</v>
      </c>
      <c r="G175" s="121" t="s">
        <v>1310</v>
      </c>
      <c r="H175" s="181" t="s">
        <v>1311</v>
      </c>
      <c r="I175" s="217" t="s">
        <v>1312</v>
      </c>
    </row>
    <row r="176" spans="1:23" ht="16.5" customHeight="1">
      <c r="A176" s="1860" t="s">
        <v>344</v>
      </c>
      <c r="B176" s="363" t="s">
        <v>1319</v>
      </c>
      <c r="C176" s="356" t="s">
        <v>1252</v>
      </c>
      <c r="E176" s="1874"/>
      <c r="F176" s="180" t="s">
        <v>1314</v>
      </c>
      <c r="G176" s="121" t="s">
        <v>1315</v>
      </c>
      <c r="H176" s="181" t="s">
        <v>690</v>
      </c>
      <c r="I176" s="217" t="s">
        <v>960</v>
      </c>
    </row>
    <row r="177" spans="1:19" ht="16.5" customHeight="1">
      <c r="A177" s="1861"/>
      <c r="B177" s="673" t="s">
        <v>1849</v>
      </c>
      <c r="C177" s="356" t="s">
        <v>1260</v>
      </c>
      <c r="E177" s="1874"/>
      <c r="F177" s="364" t="s">
        <v>1317</v>
      </c>
      <c r="G177" s="124" t="s">
        <v>1318</v>
      </c>
      <c r="H177" s="365" t="s">
        <v>690</v>
      </c>
      <c r="I177" s="381" t="s">
        <v>960</v>
      </c>
    </row>
    <row r="178" spans="1:19" ht="16.5" customHeight="1">
      <c r="A178" s="1861"/>
      <c r="B178" s="363" t="s">
        <v>1324</v>
      </c>
      <c r="C178" s="356" t="s">
        <v>1257</v>
      </c>
      <c r="E178" s="1874"/>
      <c r="F178" s="366" t="s">
        <v>1320</v>
      </c>
      <c r="G178" s="367" t="s">
        <v>1321</v>
      </c>
      <c r="H178" s="368" t="s">
        <v>1322</v>
      </c>
      <c r="I178" s="382" t="s">
        <v>1323</v>
      </c>
    </row>
    <row r="179" spans="1:19" ht="16.5" customHeight="1">
      <c r="A179" s="1861"/>
      <c r="B179" s="363" t="s">
        <v>1326</v>
      </c>
      <c r="C179" s="356" t="s">
        <v>1302</v>
      </c>
      <c r="E179" s="1875"/>
      <c r="F179" s="369" t="s">
        <v>1043</v>
      </c>
      <c r="G179" s="370" t="s">
        <v>1043</v>
      </c>
      <c r="H179" s="371" t="s">
        <v>1044</v>
      </c>
      <c r="I179" s="383" t="s">
        <v>1045</v>
      </c>
    </row>
    <row r="180" spans="1:19" ht="16.5" customHeight="1">
      <c r="A180" s="1861"/>
      <c r="B180" s="363" t="s">
        <v>1313</v>
      </c>
      <c r="C180" s="356" t="s">
        <v>1246</v>
      </c>
    </row>
    <row r="181" spans="1:19" ht="16.5" customHeight="1">
      <c r="A181" s="1861"/>
      <c r="B181" s="363" t="s">
        <v>1328</v>
      </c>
      <c r="C181" s="358" t="s">
        <v>1329</v>
      </c>
      <c r="S181" s="392"/>
    </row>
    <row r="182" spans="1:19" ht="16.5" customHeight="1">
      <c r="A182" s="1861"/>
      <c r="B182" s="363" t="s">
        <v>1327</v>
      </c>
      <c r="C182" s="358" t="s">
        <v>1308</v>
      </c>
      <c r="S182" s="392"/>
    </row>
    <row r="183" spans="1:19" ht="16.5" customHeight="1">
      <c r="A183" s="1861"/>
      <c r="B183" s="363" t="s">
        <v>1316</v>
      </c>
      <c r="C183" s="356" t="s">
        <v>1240</v>
      </c>
      <c r="S183" s="392"/>
    </row>
    <row r="184" spans="1:19" ht="16.5" customHeight="1">
      <c r="A184" s="1861"/>
      <c r="B184" s="363" t="s">
        <v>1325</v>
      </c>
      <c r="C184" s="356" t="s">
        <v>1235</v>
      </c>
      <c r="S184" s="392"/>
    </row>
    <row r="185" spans="1:19" ht="16.5" customHeight="1">
      <c r="A185" s="1862"/>
      <c r="B185" s="674" t="s">
        <v>1847</v>
      </c>
      <c r="C185" s="675" t="s">
        <v>1848</v>
      </c>
      <c r="S185" s="392"/>
    </row>
    <row r="186" spans="1:19" ht="16.5" customHeight="1">
      <c r="A186" s="1863" t="s">
        <v>345</v>
      </c>
      <c r="B186" s="145" t="s">
        <v>1330</v>
      </c>
      <c r="C186" s="360" t="s">
        <v>1235</v>
      </c>
      <c r="S186" s="392"/>
    </row>
    <row r="187" spans="1:19" ht="16.5" customHeight="1">
      <c r="A187" s="1864"/>
      <c r="B187" s="147" t="s">
        <v>1331</v>
      </c>
      <c r="C187" s="356" t="s">
        <v>1240</v>
      </c>
      <c r="S187" s="392"/>
    </row>
    <row r="188" spans="1:19" ht="16.5" customHeight="1">
      <c r="A188" s="1864"/>
      <c r="B188" s="153" t="s">
        <v>1332</v>
      </c>
      <c r="C188" s="356" t="s">
        <v>1246</v>
      </c>
      <c r="E188" s="1816" t="s">
        <v>588</v>
      </c>
      <c r="F188" s="1817"/>
      <c r="G188" s="1818"/>
      <c r="S188" s="392"/>
    </row>
    <row r="189" spans="1:19" ht="16.5" customHeight="1">
      <c r="A189" s="1864"/>
      <c r="B189" s="153" t="s">
        <v>1333</v>
      </c>
      <c r="C189" s="356" t="s">
        <v>1252</v>
      </c>
      <c r="E189" s="1824" t="s">
        <v>369</v>
      </c>
      <c r="F189" s="87" t="s">
        <v>1334</v>
      </c>
      <c r="G189" s="372" t="s">
        <v>1335</v>
      </c>
      <c r="S189" s="392"/>
    </row>
    <row r="190" spans="1:19" ht="16.5" customHeight="1">
      <c r="A190" s="1864"/>
      <c r="B190" s="153" t="s">
        <v>1336</v>
      </c>
      <c r="C190" s="356" t="s">
        <v>1257</v>
      </c>
      <c r="E190" s="1825"/>
      <c r="F190" s="91" t="s">
        <v>1337</v>
      </c>
      <c r="G190" s="373" t="s">
        <v>1338</v>
      </c>
      <c r="S190" s="392"/>
    </row>
    <row r="191" spans="1:19" ht="16.5" customHeight="1">
      <c r="A191" s="1864"/>
      <c r="B191" s="153" t="s">
        <v>1339</v>
      </c>
      <c r="C191" s="356" t="s">
        <v>1260</v>
      </c>
      <c r="E191" s="1826"/>
      <c r="F191" s="374" t="s">
        <v>1340</v>
      </c>
      <c r="G191" s="375" t="s">
        <v>1341</v>
      </c>
      <c r="S191" s="392"/>
    </row>
    <row r="192" spans="1:19" ht="16.5" customHeight="1">
      <c r="A192" s="1864"/>
      <c r="B192" s="153" t="s">
        <v>1342</v>
      </c>
      <c r="C192" s="356" t="s">
        <v>1266</v>
      </c>
      <c r="E192" s="1827" t="s">
        <v>429</v>
      </c>
      <c r="F192" s="376" t="s">
        <v>1335</v>
      </c>
      <c r="G192" s="377" t="str">
        <f>$G$189</f>
        <v>学生</v>
      </c>
      <c r="S192" s="392"/>
    </row>
    <row r="193" spans="1:19" ht="16.5" customHeight="1">
      <c r="A193" s="1864"/>
      <c r="B193" s="153" t="s">
        <v>1343</v>
      </c>
      <c r="C193" s="358" t="s">
        <v>1302</v>
      </c>
      <c r="E193" s="1828"/>
      <c r="F193" s="378" t="s">
        <v>1344</v>
      </c>
      <c r="G193" s="373" t="str">
        <f>$G$190</f>
        <v>会社従業員</v>
      </c>
      <c r="S193" s="392"/>
    </row>
    <row r="194" spans="1:19" ht="16.5" customHeight="1">
      <c r="A194" s="1865"/>
      <c r="B194" s="150" t="s">
        <v>1345</v>
      </c>
      <c r="C194" s="362" t="s">
        <v>1308</v>
      </c>
      <c r="E194" s="1829"/>
      <c r="F194" s="374" t="s">
        <v>1346</v>
      </c>
      <c r="G194" s="375" t="str">
        <f>$G$191</f>
        <v>無し</v>
      </c>
      <c r="S194" s="392"/>
    </row>
    <row r="195" spans="1:19" ht="16.5" customHeight="1">
      <c r="A195" s="1926" t="s">
        <v>347</v>
      </c>
      <c r="B195" s="139" t="s">
        <v>1235</v>
      </c>
      <c r="C195" s="393" t="s">
        <v>1235</v>
      </c>
      <c r="E195" s="1830" t="s">
        <v>441</v>
      </c>
      <c r="F195" s="376" t="s">
        <v>1347</v>
      </c>
      <c r="G195" s="377" t="str">
        <f>$G$189</f>
        <v>学生</v>
      </c>
      <c r="S195" s="392"/>
    </row>
    <row r="196" spans="1:19" ht="16.5" customHeight="1">
      <c r="A196" s="1926"/>
      <c r="B196" s="355" t="s">
        <v>1240</v>
      </c>
      <c r="C196" s="356" t="s">
        <v>1240</v>
      </c>
      <c r="E196" s="1832"/>
      <c r="F196" s="378" t="s">
        <v>1348</v>
      </c>
      <c r="G196" s="373" t="str">
        <f>$G$190</f>
        <v>会社従業員</v>
      </c>
      <c r="S196" s="392"/>
    </row>
    <row r="197" spans="1:19" ht="16.5" customHeight="1">
      <c r="A197" s="1926"/>
      <c r="B197" s="355" t="s">
        <v>1246</v>
      </c>
      <c r="C197" s="356" t="s">
        <v>1246</v>
      </c>
      <c r="E197" s="1833"/>
      <c r="F197" s="374" t="s">
        <v>1349</v>
      </c>
      <c r="G197" s="375" t="str">
        <f>$G$191</f>
        <v>無し</v>
      </c>
      <c r="S197" s="392"/>
    </row>
    <row r="198" spans="1:19" ht="16.5" customHeight="1">
      <c r="A198" s="1926"/>
      <c r="B198" s="355" t="s">
        <v>1252</v>
      </c>
      <c r="C198" s="356" t="s">
        <v>1252</v>
      </c>
      <c r="E198" s="1834" t="s">
        <v>462</v>
      </c>
      <c r="F198" s="376" t="s">
        <v>1350</v>
      </c>
      <c r="G198" s="377" t="str">
        <f>$G$189</f>
        <v>学生</v>
      </c>
      <c r="S198" s="392"/>
    </row>
    <row r="199" spans="1:19" ht="16.5" customHeight="1">
      <c r="A199" s="1926"/>
      <c r="B199" s="355" t="s">
        <v>1257</v>
      </c>
      <c r="C199" s="356" t="s">
        <v>1257</v>
      </c>
      <c r="E199" s="1835"/>
      <c r="F199" s="378" t="s">
        <v>1351</v>
      </c>
      <c r="G199" s="373" t="str">
        <f>$G$190</f>
        <v>会社従業員</v>
      </c>
      <c r="S199" s="392"/>
    </row>
    <row r="200" spans="1:19" ht="16.5" customHeight="1">
      <c r="A200" s="1926"/>
      <c r="B200" s="355" t="s">
        <v>1260</v>
      </c>
      <c r="C200" s="356" t="s">
        <v>1260</v>
      </c>
      <c r="E200" s="1836"/>
      <c r="F200" s="374" t="s">
        <v>1352</v>
      </c>
      <c r="G200" s="375" t="str">
        <f>$G$191</f>
        <v>無し</v>
      </c>
      <c r="S200" s="392"/>
    </row>
    <row r="201" spans="1:19" ht="16.5" customHeight="1">
      <c r="A201" s="1926"/>
      <c r="B201" s="355" t="s">
        <v>1266</v>
      </c>
      <c r="C201" s="356" t="s">
        <v>1266</v>
      </c>
      <c r="E201" s="1837" t="s">
        <v>476</v>
      </c>
      <c r="F201" s="394" t="s">
        <v>1335</v>
      </c>
      <c r="G201" s="377" t="str">
        <f>$G$189</f>
        <v>学生</v>
      </c>
      <c r="S201" s="392"/>
    </row>
    <row r="202" spans="1:19" ht="16.5" customHeight="1">
      <c r="A202" s="1926"/>
      <c r="B202" s="147" t="s">
        <v>1302</v>
      </c>
      <c r="C202" s="358" t="s">
        <v>1302</v>
      </c>
      <c r="E202" s="1838"/>
      <c r="F202" s="91" t="s">
        <v>1338</v>
      </c>
      <c r="G202" s="373" t="str">
        <f>$G$190</f>
        <v>会社従業員</v>
      </c>
      <c r="S202" s="392"/>
    </row>
    <row r="203" spans="1:19" ht="16.5" customHeight="1">
      <c r="A203" s="1927"/>
      <c r="B203" s="395" t="s">
        <v>1308</v>
      </c>
      <c r="C203" s="396" t="s">
        <v>1308</v>
      </c>
      <c r="E203" s="1839"/>
      <c r="F203" s="397" t="s">
        <v>1341</v>
      </c>
      <c r="G203" s="398" t="str">
        <f>$G$191</f>
        <v>無し</v>
      </c>
      <c r="S203" s="392"/>
    </row>
    <row r="204" spans="1:19" ht="16.5" customHeight="1">
      <c r="S204" s="392"/>
    </row>
    <row r="205" spans="1:19" ht="16.5" customHeight="1">
      <c r="S205" s="392"/>
    </row>
    <row r="206" spans="1:19" ht="16.5" customHeight="1">
      <c r="A206" s="1920" t="s">
        <v>150</v>
      </c>
      <c r="B206" s="1921"/>
      <c r="C206" s="1922"/>
      <c r="E206" s="1923" t="s">
        <v>1353</v>
      </c>
      <c r="F206" s="1924"/>
      <c r="G206" s="1924"/>
      <c r="H206" s="1925"/>
      <c r="S206" s="392"/>
    </row>
    <row r="207" spans="1:19" ht="16.5" customHeight="1">
      <c r="A207" s="1855" t="s">
        <v>151</v>
      </c>
      <c r="B207" s="399" t="s">
        <v>1354</v>
      </c>
      <c r="C207" s="400" t="s">
        <v>1355</v>
      </c>
      <c r="E207" s="1876" t="s">
        <v>151</v>
      </c>
      <c r="F207" s="401" t="s">
        <v>1354</v>
      </c>
      <c r="G207" s="402" t="s">
        <v>137</v>
      </c>
      <c r="H207" s="403" t="s">
        <v>102</v>
      </c>
      <c r="J207" s="399" t="s">
        <v>1354</v>
      </c>
      <c r="K207" s="399" t="s">
        <v>1354</v>
      </c>
      <c r="S207" s="392"/>
    </row>
    <row r="208" spans="1:19" ht="16.5" customHeight="1">
      <c r="A208" s="1855"/>
      <c r="B208" s="404" t="s">
        <v>1356</v>
      </c>
      <c r="C208" s="405" t="s">
        <v>1357</v>
      </c>
      <c r="E208" s="1877"/>
      <c r="F208" s="406" t="s">
        <v>1356</v>
      </c>
      <c r="G208" s="407" t="s">
        <v>139</v>
      </c>
      <c r="H208" s="408" t="s">
        <v>103</v>
      </c>
      <c r="J208" s="404" t="s">
        <v>1356</v>
      </c>
      <c r="K208" s="404" t="s">
        <v>1356</v>
      </c>
      <c r="S208" s="392"/>
    </row>
    <row r="209" spans="1:22" ht="16.5" customHeight="1">
      <c r="A209" s="1855"/>
      <c r="B209" s="404" t="s">
        <v>1358</v>
      </c>
      <c r="C209" s="405" t="s">
        <v>1359</v>
      </c>
      <c r="E209" s="1877"/>
      <c r="F209" s="409" t="s">
        <v>1360</v>
      </c>
      <c r="G209" s="407" t="s">
        <v>137</v>
      </c>
      <c r="H209" s="410" t="s">
        <v>102</v>
      </c>
      <c r="J209" s="404" t="s">
        <v>1358</v>
      </c>
      <c r="K209" s="404" t="s">
        <v>1358</v>
      </c>
      <c r="S209" s="392"/>
    </row>
    <row r="210" spans="1:22" ht="16.5" customHeight="1">
      <c r="A210" s="1855"/>
      <c r="B210" s="404" t="s">
        <v>1361</v>
      </c>
      <c r="C210" s="405" t="s">
        <v>917</v>
      </c>
      <c r="E210" s="1877"/>
      <c r="F210" s="409" t="s">
        <v>1362</v>
      </c>
      <c r="G210" s="407" t="s">
        <v>139</v>
      </c>
      <c r="H210" s="410" t="s">
        <v>103</v>
      </c>
      <c r="J210" s="404" t="s">
        <v>1361</v>
      </c>
      <c r="K210" s="404" t="s">
        <v>1361</v>
      </c>
      <c r="S210" s="392"/>
    </row>
    <row r="211" spans="1:22" ht="16.5" customHeight="1">
      <c r="A211" s="1855"/>
      <c r="B211" s="404" t="s">
        <v>1363</v>
      </c>
      <c r="C211" s="405" t="s">
        <v>901</v>
      </c>
      <c r="E211" s="1877"/>
      <c r="F211" s="409" t="s">
        <v>510</v>
      </c>
      <c r="G211" s="407" t="s">
        <v>137</v>
      </c>
      <c r="H211" s="410" t="s">
        <v>102</v>
      </c>
      <c r="J211" s="404" t="s">
        <v>1363</v>
      </c>
      <c r="K211" s="404" t="s">
        <v>1363</v>
      </c>
      <c r="S211" s="392"/>
      <c r="T211" s="432"/>
      <c r="U211" s="432"/>
      <c r="V211" s="432"/>
    </row>
    <row r="212" spans="1:22" ht="16.5" customHeight="1">
      <c r="A212" s="1855"/>
      <c r="B212" s="404" t="s">
        <v>1364</v>
      </c>
      <c r="C212" s="405" t="s">
        <v>896</v>
      </c>
      <c r="E212" s="1877"/>
      <c r="F212" s="409" t="s">
        <v>512</v>
      </c>
      <c r="G212" s="407" t="s">
        <v>139</v>
      </c>
      <c r="H212" s="410" t="s">
        <v>103</v>
      </c>
      <c r="J212" s="404" t="s">
        <v>1364</v>
      </c>
      <c r="K212" s="404" t="s">
        <v>1364</v>
      </c>
      <c r="S212" s="392"/>
      <c r="T212" s="433"/>
      <c r="U212" s="433"/>
      <c r="V212" s="433"/>
    </row>
    <row r="213" spans="1:22" ht="16.5" customHeight="1">
      <c r="A213" s="1855"/>
      <c r="B213" s="404" t="s">
        <v>1365</v>
      </c>
      <c r="C213" s="405" t="s">
        <v>577</v>
      </c>
      <c r="E213" s="1877"/>
      <c r="F213" s="409" t="s">
        <v>1366</v>
      </c>
      <c r="G213" s="407" t="s">
        <v>139</v>
      </c>
      <c r="H213" s="410" t="s">
        <v>103</v>
      </c>
      <c r="J213" s="404" t="s">
        <v>1365</v>
      </c>
      <c r="K213" s="404" t="s">
        <v>1365</v>
      </c>
      <c r="S213" s="392"/>
      <c r="T213" s="161"/>
      <c r="U213" s="434"/>
      <c r="V213" s="71"/>
    </row>
    <row r="214" spans="1:22" ht="16.5" customHeight="1">
      <c r="A214" s="1855"/>
      <c r="B214" s="411" t="s">
        <v>1360</v>
      </c>
      <c r="C214" s="405" t="s">
        <v>1367</v>
      </c>
      <c r="E214" s="1877"/>
      <c r="F214" s="409" t="s">
        <v>1368</v>
      </c>
      <c r="G214" s="407" t="s">
        <v>139</v>
      </c>
      <c r="H214" s="410" t="s">
        <v>103</v>
      </c>
      <c r="J214" s="411" t="s">
        <v>1360</v>
      </c>
      <c r="K214" s="411" t="s">
        <v>1360</v>
      </c>
      <c r="S214" s="392"/>
      <c r="T214" s="432"/>
      <c r="U214" s="434"/>
      <c r="V214" s="71"/>
    </row>
    <row r="215" spans="1:22" ht="16.5" customHeight="1">
      <c r="A215" s="1855"/>
      <c r="B215" s="411" t="s">
        <v>1362</v>
      </c>
      <c r="C215" s="405" t="s">
        <v>1369</v>
      </c>
      <c r="E215" s="1877"/>
      <c r="F215" s="409" t="s">
        <v>1370</v>
      </c>
      <c r="G215" s="407" t="s">
        <v>137</v>
      </c>
      <c r="H215" s="410" t="s">
        <v>102</v>
      </c>
      <c r="J215" s="411" t="s">
        <v>1362</v>
      </c>
      <c r="K215" s="411" t="s">
        <v>1362</v>
      </c>
      <c r="S215" s="392"/>
      <c r="T215" s="161"/>
      <c r="U215" s="434"/>
      <c r="V215" s="71"/>
    </row>
    <row r="216" spans="1:22" ht="16.5" customHeight="1">
      <c r="A216" s="1855"/>
      <c r="B216" s="411" t="s">
        <v>510</v>
      </c>
      <c r="C216" s="405" t="s">
        <v>511</v>
      </c>
      <c r="E216" s="1877"/>
      <c r="F216" s="409" t="s">
        <v>1371</v>
      </c>
      <c r="G216" s="407" t="s">
        <v>137</v>
      </c>
      <c r="H216" s="410" t="s">
        <v>102</v>
      </c>
      <c r="J216" s="411" t="s">
        <v>510</v>
      </c>
      <c r="K216" s="411" t="s">
        <v>510</v>
      </c>
      <c r="S216" s="392"/>
      <c r="T216" s="161"/>
      <c r="U216" s="434"/>
      <c r="V216" s="71"/>
    </row>
    <row r="217" spans="1:22" ht="16.5" customHeight="1">
      <c r="A217" s="1855"/>
      <c r="B217" s="411" t="s">
        <v>512</v>
      </c>
      <c r="C217" s="405" t="s">
        <v>517</v>
      </c>
      <c r="E217" s="1877"/>
      <c r="F217" s="409" t="s">
        <v>1372</v>
      </c>
      <c r="G217" s="407" t="s">
        <v>137</v>
      </c>
      <c r="H217" s="410" t="s">
        <v>102</v>
      </c>
      <c r="J217" s="411" t="s">
        <v>512</v>
      </c>
      <c r="K217" s="411" t="s">
        <v>512</v>
      </c>
      <c r="S217" s="392"/>
      <c r="T217" s="161"/>
      <c r="U217" s="434"/>
      <c r="V217" s="71"/>
    </row>
    <row r="218" spans="1:22" ht="16.5" customHeight="1">
      <c r="A218" s="1855"/>
      <c r="B218" s="411" t="s">
        <v>1366</v>
      </c>
      <c r="C218" s="405" t="s">
        <v>1227</v>
      </c>
      <c r="E218" s="1877"/>
      <c r="F218" s="409" t="s">
        <v>1373</v>
      </c>
      <c r="G218" s="407" t="s">
        <v>139</v>
      </c>
      <c r="H218" s="410" t="s">
        <v>103</v>
      </c>
      <c r="J218" s="411" t="s">
        <v>1366</v>
      </c>
      <c r="K218" s="411" t="s">
        <v>1366</v>
      </c>
      <c r="S218" s="392"/>
      <c r="T218" s="161"/>
      <c r="U218" s="434"/>
      <c r="V218" s="71"/>
    </row>
    <row r="219" spans="1:22" ht="16.5" customHeight="1">
      <c r="A219" s="1855"/>
      <c r="B219" s="411" t="s">
        <v>1368</v>
      </c>
      <c r="C219" s="405" t="s">
        <v>922</v>
      </c>
      <c r="E219" s="1877"/>
      <c r="F219" s="409" t="s">
        <v>1374</v>
      </c>
      <c r="G219" s="407" t="s">
        <v>137</v>
      </c>
      <c r="H219" s="410" t="s">
        <v>102</v>
      </c>
      <c r="J219" s="411" t="s">
        <v>1368</v>
      </c>
      <c r="K219" s="411" t="s">
        <v>1368</v>
      </c>
      <c r="S219" s="392"/>
      <c r="T219" s="161"/>
      <c r="U219" s="434"/>
      <c r="V219" s="71"/>
    </row>
    <row r="220" spans="1:22" ht="16.5" customHeight="1">
      <c r="A220" s="1855"/>
      <c r="B220" s="411" t="s">
        <v>1370</v>
      </c>
      <c r="C220" s="405" t="s">
        <v>916</v>
      </c>
      <c r="E220" s="1877"/>
      <c r="F220" s="409" t="s">
        <v>1375</v>
      </c>
      <c r="G220" s="407" t="s">
        <v>137</v>
      </c>
      <c r="H220" s="410" t="s">
        <v>102</v>
      </c>
      <c r="J220" s="411" t="s">
        <v>1370</v>
      </c>
      <c r="K220" s="411" t="s">
        <v>1370</v>
      </c>
      <c r="S220" s="392"/>
      <c r="T220" s="161"/>
      <c r="U220" s="434"/>
      <c r="V220" s="71"/>
    </row>
    <row r="221" spans="1:22" ht="16.5" customHeight="1">
      <c r="A221" s="1855"/>
      <c r="B221" s="411" t="s">
        <v>1371</v>
      </c>
      <c r="C221" s="405" t="s">
        <v>932</v>
      </c>
      <c r="E221" s="1877"/>
      <c r="F221" s="409" t="s">
        <v>1376</v>
      </c>
      <c r="G221" s="407" t="s">
        <v>139</v>
      </c>
      <c r="H221" s="410" t="s">
        <v>103</v>
      </c>
      <c r="J221" s="411" t="s">
        <v>1371</v>
      </c>
      <c r="K221" s="411" t="s">
        <v>1371</v>
      </c>
      <c r="S221" s="392"/>
      <c r="T221" s="161"/>
      <c r="U221" s="434"/>
      <c r="V221" s="71"/>
    </row>
    <row r="222" spans="1:22" ht="16.5" customHeight="1">
      <c r="A222" s="1855"/>
      <c r="B222" s="411" t="s">
        <v>1372</v>
      </c>
      <c r="C222" s="405" t="s">
        <v>1377</v>
      </c>
      <c r="E222" s="1878"/>
      <c r="F222" s="412" t="s">
        <v>1378</v>
      </c>
      <c r="G222" s="413" t="s">
        <v>139</v>
      </c>
      <c r="H222" s="414" t="s">
        <v>103</v>
      </c>
      <c r="J222" s="411" t="s">
        <v>1372</v>
      </c>
      <c r="K222" s="411" t="s">
        <v>1372</v>
      </c>
      <c r="S222" s="392"/>
      <c r="T222" s="161"/>
      <c r="U222" s="434"/>
      <c r="V222" s="71"/>
    </row>
    <row r="223" spans="1:22" ht="16.5" customHeight="1">
      <c r="A223" s="1855"/>
      <c r="B223" s="411" t="s">
        <v>1373</v>
      </c>
      <c r="C223" s="405" t="s">
        <v>1379</v>
      </c>
      <c r="E223" s="1879" t="s">
        <v>185</v>
      </c>
      <c r="F223" s="415" t="s">
        <v>511</v>
      </c>
      <c r="G223" s="416" t="s">
        <v>102</v>
      </c>
      <c r="H223" s="417" t="s">
        <v>102</v>
      </c>
      <c r="J223" s="411" t="s">
        <v>1373</v>
      </c>
      <c r="K223" s="411" t="s">
        <v>1373</v>
      </c>
      <c r="S223" s="392"/>
      <c r="T223" s="432"/>
      <c r="U223" s="434"/>
      <c r="V223" s="71"/>
    </row>
    <row r="224" spans="1:22" ht="16.5" customHeight="1">
      <c r="A224" s="1855"/>
      <c r="B224" s="411" t="s">
        <v>1374</v>
      </c>
      <c r="C224" s="405" t="s">
        <v>936</v>
      </c>
      <c r="E224" s="1880"/>
      <c r="F224" s="418" t="s">
        <v>517</v>
      </c>
      <c r="G224" s="419" t="s">
        <v>103</v>
      </c>
      <c r="H224" s="420" t="s">
        <v>103</v>
      </c>
      <c r="J224" s="411" t="s">
        <v>1374</v>
      </c>
      <c r="K224" s="411" t="s">
        <v>1374</v>
      </c>
      <c r="S224" s="392"/>
      <c r="T224" s="432"/>
      <c r="U224" s="434"/>
      <c r="V224" s="71"/>
    </row>
    <row r="225" spans="1:22" ht="16.5" customHeight="1">
      <c r="A225" s="1855"/>
      <c r="B225" s="411" t="s">
        <v>1375</v>
      </c>
      <c r="C225" s="405" t="s">
        <v>941</v>
      </c>
      <c r="E225" s="1880"/>
      <c r="F225" s="418" t="s">
        <v>916</v>
      </c>
      <c r="G225" s="419" t="s">
        <v>102</v>
      </c>
      <c r="H225" s="420" t="s">
        <v>102</v>
      </c>
      <c r="J225" s="411" t="s">
        <v>1375</v>
      </c>
      <c r="K225" s="411" t="s">
        <v>1375</v>
      </c>
      <c r="S225" s="392"/>
      <c r="T225" s="161"/>
      <c r="U225" s="434"/>
      <c r="V225" s="71"/>
    </row>
    <row r="226" spans="1:22" ht="16.5" customHeight="1">
      <c r="A226" s="1855"/>
      <c r="B226" s="411" t="s">
        <v>1376</v>
      </c>
      <c r="C226" s="405" t="s">
        <v>1380</v>
      </c>
      <c r="E226" s="1880"/>
      <c r="F226" s="418" t="s">
        <v>932</v>
      </c>
      <c r="G226" s="419" t="s">
        <v>102</v>
      </c>
      <c r="H226" s="420" t="s">
        <v>102</v>
      </c>
      <c r="J226" s="411" t="s">
        <v>1376</v>
      </c>
      <c r="K226" s="411" t="s">
        <v>1376</v>
      </c>
      <c r="S226" s="392"/>
      <c r="T226" s="432"/>
      <c r="U226" s="434"/>
      <c r="V226" s="71"/>
    </row>
    <row r="227" spans="1:22" ht="16.5" customHeight="1">
      <c r="A227" s="1855"/>
      <c r="B227" s="411" t="s">
        <v>1378</v>
      </c>
      <c r="C227" s="405" t="s">
        <v>1381</v>
      </c>
      <c r="E227" s="1880"/>
      <c r="F227" s="418" t="s">
        <v>927</v>
      </c>
      <c r="G227" s="419" t="s">
        <v>103</v>
      </c>
      <c r="H227" s="420" t="s">
        <v>103</v>
      </c>
      <c r="J227" s="411" t="s">
        <v>1378</v>
      </c>
      <c r="K227" s="411" t="s">
        <v>1378</v>
      </c>
      <c r="S227" s="392"/>
      <c r="T227" s="161"/>
      <c r="U227" s="434"/>
      <c r="V227" s="71"/>
    </row>
    <row r="228" spans="1:22" ht="16.5" customHeight="1">
      <c r="A228" s="1856"/>
      <c r="B228" s="421" t="s">
        <v>1382</v>
      </c>
      <c r="C228" s="422" t="s">
        <v>1383</v>
      </c>
      <c r="E228" s="1880"/>
      <c r="F228" s="418" t="s">
        <v>922</v>
      </c>
      <c r="G228" s="419" t="s">
        <v>103</v>
      </c>
      <c r="H228" s="420" t="s">
        <v>103</v>
      </c>
      <c r="J228" s="421" t="s">
        <v>1382</v>
      </c>
      <c r="K228" s="421" t="s">
        <v>1382</v>
      </c>
      <c r="S228" s="392"/>
      <c r="T228" s="161"/>
      <c r="U228" s="434"/>
      <c r="V228" s="71"/>
    </row>
    <row r="229" spans="1:22" ht="16.5" customHeight="1">
      <c r="A229" s="1857" t="s">
        <v>185</v>
      </c>
      <c r="B229" s="145" t="s">
        <v>511</v>
      </c>
      <c r="C229" s="423" t="s">
        <v>511</v>
      </c>
      <c r="E229" s="1880"/>
      <c r="F229" s="418" t="s">
        <v>896</v>
      </c>
      <c r="G229" s="419" t="s">
        <v>102</v>
      </c>
      <c r="H229" s="420" t="s">
        <v>102</v>
      </c>
      <c r="J229" s="145" t="s">
        <v>511</v>
      </c>
      <c r="K229" s="145" t="s">
        <v>511</v>
      </c>
      <c r="S229" s="392"/>
      <c r="T229" s="161"/>
      <c r="U229" s="434"/>
      <c r="V229" s="71"/>
    </row>
    <row r="230" spans="1:22" ht="16.5" customHeight="1">
      <c r="A230" s="1858"/>
      <c r="B230" s="147" t="s">
        <v>517</v>
      </c>
      <c r="C230" s="424" t="s">
        <v>517</v>
      </c>
      <c r="E230" s="1880"/>
      <c r="F230" s="418" t="s">
        <v>901</v>
      </c>
      <c r="G230" s="419" t="s">
        <v>103</v>
      </c>
      <c r="H230" s="420" t="s">
        <v>103</v>
      </c>
      <c r="J230" s="147" t="s">
        <v>517</v>
      </c>
      <c r="K230" s="147" t="s">
        <v>517</v>
      </c>
      <c r="S230" s="392"/>
      <c r="T230" s="161"/>
      <c r="U230" s="434"/>
      <c r="V230" s="71"/>
    </row>
    <row r="231" spans="1:22" ht="16.5" customHeight="1">
      <c r="A231" s="1858"/>
      <c r="B231" s="147" t="s">
        <v>916</v>
      </c>
      <c r="C231" s="424" t="s">
        <v>916</v>
      </c>
      <c r="E231" s="1880"/>
      <c r="F231" s="418" t="s">
        <v>909</v>
      </c>
      <c r="G231" s="407" t="s">
        <v>102</v>
      </c>
      <c r="H231" s="420" t="s">
        <v>102</v>
      </c>
      <c r="J231" s="147" t="s">
        <v>916</v>
      </c>
      <c r="K231" s="147" t="s">
        <v>916</v>
      </c>
      <c r="S231" s="392"/>
      <c r="T231" s="161"/>
      <c r="U231" s="434"/>
      <c r="V231" s="71"/>
    </row>
    <row r="232" spans="1:22" ht="16.5" customHeight="1">
      <c r="A232" s="1858"/>
      <c r="B232" s="147" t="s">
        <v>922</v>
      </c>
      <c r="C232" s="424" t="s">
        <v>922</v>
      </c>
      <c r="E232" s="1880"/>
      <c r="F232" s="418" t="s">
        <v>989</v>
      </c>
      <c r="G232" s="407" t="s">
        <v>103</v>
      </c>
      <c r="H232" s="420" t="s">
        <v>103</v>
      </c>
      <c r="J232" s="147" t="s">
        <v>922</v>
      </c>
      <c r="K232" s="147" t="s">
        <v>922</v>
      </c>
      <c r="S232" s="392"/>
      <c r="T232" s="161"/>
      <c r="U232" s="434"/>
      <c r="V232" s="71"/>
    </row>
    <row r="233" spans="1:22" ht="16.5" customHeight="1">
      <c r="A233" s="1858"/>
      <c r="B233" s="147" t="s">
        <v>1384</v>
      </c>
      <c r="C233" s="424" t="s">
        <v>941</v>
      </c>
      <c r="E233" s="1880"/>
      <c r="F233" s="418" t="s">
        <v>1050</v>
      </c>
      <c r="G233" s="407" t="s">
        <v>102</v>
      </c>
      <c r="H233" s="420" t="s">
        <v>102</v>
      </c>
      <c r="J233" s="147" t="s">
        <v>1384</v>
      </c>
      <c r="K233" s="147" t="s">
        <v>1384</v>
      </c>
      <c r="S233" s="392"/>
      <c r="T233" s="161"/>
      <c r="U233" s="434"/>
      <c r="V233" s="71"/>
    </row>
    <row r="234" spans="1:22" ht="16.5" customHeight="1">
      <c r="A234" s="1858"/>
      <c r="B234" s="147" t="s">
        <v>1385</v>
      </c>
      <c r="C234" s="424" t="s">
        <v>1386</v>
      </c>
      <c r="E234" s="1881"/>
      <c r="F234" s="425" t="s">
        <v>1124</v>
      </c>
      <c r="G234" s="413" t="s">
        <v>103</v>
      </c>
      <c r="H234" s="426" t="s">
        <v>103</v>
      </c>
      <c r="J234" s="147" t="s">
        <v>1385</v>
      </c>
      <c r="K234" s="147" t="s">
        <v>1385</v>
      </c>
      <c r="S234" s="392"/>
      <c r="T234" s="161"/>
      <c r="U234" s="434"/>
      <c r="V234" s="71"/>
    </row>
    <row r="235" spans="1:22" ht="16.5" customHeight="1">
      <c r="A235" s="1858"/>
      <c r="B235" s="147" t="s">
        <v>896</v>
      </c>
      <c r="C235" s="424" t="s">
        <v>896</v>
      </c>
      <c r="E235" s="1882" t="s">
        <v>215</v>
      </c>
      <c r="F235" s="427" t="s">
        <v>566</v>
      </c>
      <c r="G235" s="428" t="s">
        <v>127</v>
      </c>
      <c r="H235" s="417" t="s">
        <v>102</v>
      </c>
      <c r="I235" s="69" t="s">
        <v>566</v>
      </c>
      <c r="J235" s="147" t="s">
        <v>896</v>
      </c>
      <c r="K235" s="147" t="s">
        <v>896</v>
      </c>
      <c r="S235" s="392"/>
      <c r="T235" s="432"/>
      <c r="U235" s="434"/>
      <c r="V235" s="71"/>
    </row>
    <row r="236" spans="1:22" ht="16.5" customHeight="1">
      <c r="A236" s="1858"/>
      <c r="B236" s="147" t="s">
        <v>901</v>
      </c>
      <c r="C236" s="424" t="s">
        <v>901</v>
      </c>
      <c r="E236" s="1883"/>
      <c r="F236" s="429" t="s">
        <v>567</v>
      </c>
      <c r="G236" s="407" t="s">
        <v>911</v>
      </c>
      <c r="H236" s="420" t="s">
        <v>103</v>
      </c>
      <c r="I236" s="69" t="s">
        <v>567</v>
      </c>
      <c r="J236" s="147" t="s">
        <v>901</v>
      </c>
      <c r="K236" s="147" t="s">
        <v>901</v>
      </c>
      <c r="S236" s="392"/>
      <c r="T236" s="432"/>
      <c r="U236" s="434"/>
      <c r="V236" s="71"/>
    </row>
    <row r="237" spans="1:22" ht="16.5" customHeight="1">
      <c r="A237" s="1858"/>
      <c r="B237" s="147" t="s">
        <v>927</v>
      </c>
      <c r="C237" s="424" t="s">
        <v>1227</v>
      </c>
      <c r="E237" s="1883"/>
      <c r="F237" s="429" t="s">
        <v>1387</v>
      </c>
      <c r="G237" s="407" t="s">
        <v>127</v>
      </c>
      <c r="H237" s="420" t="s">
        <v>102</v>
      </c>
      <c r="I237" s="69" t="s">
        <v>1388</v>
      </c>
      <c r="J237" s="147" t="s">
        <v>927</v>
      </c>
      <c r="K237" s="147" t="s">
        <v>927</v>
      </c>
      <c r="S237" s="392"/>
      <c r="T237" s="161"/>
      <c r="U237" s="434"/>
      <c r="V237" s="161"/>
    </row>
    <row r="238" spans="1:22" ht="16.5" customHeight="1">
      <c r="A238" s="1858"/>
      <c r="B238" s="147" t="s">
        <v>932</v>
      </c>
      <c r="C238" s="424" t="s">
        <v>932</v>
      </c>
      <c r="E238" s="1883"/>
      <c r="F238" s="429" t="s">
        <v>1389</v>
      </c>
      <c r="G238" s="407" t="s">
        <v>127</v>
      </c>
      <c r="H238" s="420" t="s">
        <v>102</v>
      </c>
      <c r="I238" s="69" t="s">
        <v>1388</v>
      </c>
      <c r="J238" s="147" t="s">
        <v>932</v>
      </c>
      <c r="K238" s="147" t="s">
        <v>932</v>
      </c>
      <c r="S238" s="392"/>
      <c r="T238" s="432"/>
      <c r="U238" s="434"/>
      <c r="V238" s="432"/>
    </row>
    <row r="239" spans="1:22" ht="16.5" customHeight="1">
      <c r="A239" s="1858"/>
      <c r="B239" s="147" t="s">
        <v>978</v>
      </c>
      <c r="C239" s="424" t="s">
        <v>1377</v>
      </c>
      <c r="E239" s="1883"/>
      <c r="F239" s="429" t="s">
        <v>1390</v>
      </c>
      <c r="G239" s="407" t="s">
        <v>911</v>
      </c>
      <c r="H239" s="420" t="s">
        <v>103</v>
      </c>
      <c r="I239" s="69" t="s">
        <v>1391</v>
      </c>
      <c r="J239" s="147" t="s">
        <v>978</v>
      </c>
      <c r="K239" s="147" t="s">
        <v>978</v>
      </c>
      <c r="S239" s="392"/>
      <c r="T239" s="161"/>
      <c r="U239" s="434"/>
      <c r="V239" s="71"/>
    </row>
    <row r="240" spans="1:22" ht="16.5" customHeight="1">
      <c r="A240" s="1858"/>
      <c r="B240" s="147" t="s">
        <v>984</v>
      </c>
      <c r="C240" s="424" t="s">
        <v>1379</v>
      </c>
      <c r="E240" s="1883"/>
      <c r="F240" s="429" t="s">
        <v>1392</v>
      </c>
      <c r="G240" s="407" t="s">
        <v>911</v>
      </c>
      <c r="H240" s="420" t="s">
        <v>103</v>
      </c>
      <c r="I240" s="69" t="s">
        <v>1391</v>
      </c>
      <c r="J240" s="147" t="s">
        <v>984</v>
      </c>
      <c r="K240" s="147" t="s">
        <v>984</v>
      </c>
      <c r="S240" s="392"/>
      <c r="T240" s="161"/>
      <c r="U240" s="434"/>
      <c r="V240" s="71"/>
    </row>
    <row r="241" spans="1:22" ht="16.5" customHeight="1">
      <c r="A241" s="1858"/>
      <c r="B241" s="147" t="s">
        <v>909</v>
      </c>
      <c r="C241" s="424" t="s">
        <v>511</v>
      </c>
      <c r="E241" s="1883"/>
      <c r="F241" s="429" t="s">
        <v>1393</v>
      </c>
      <c r="G241" s="407" t="s">
        <v>127</v>
      </c>
      <c r="H241" s="420" t="s">
        <v>102</v>
      </c>
      <c r="I241" s="69" t="s">
        <v>1393</v>
      </c>
      <c r="J241" s="147" t="s">
        <v>909</v>
      </c>
      <c r="K241" s="147" t="s">
        <v>909</v>
      </c>
      <c r="S241" s="392"/>
      <c r="T241" s="161"/>
      <c r="U241" s="434"/>
      <c r="V241" s="161"/>
    </row>
    <row r="242" spans="1:22" ht="16.5" customHeight="1">
      <c r="A242" s="1858"/>
      <c r="B242" s="147" t="s">
        <v>989</v>
      </c>
      <c r="C242" s="424" t="s">
        <v>517</v>
      </c>
      <c r="E242" s="1883"/>
      <c r="F242" s="429" t="s">
        <v>1394</v>
      </c>
      <c r="G242" s="407" t="s">
        <v>911</v>
      </c>
      <c r="H242" s="420" t="s">
        <v>103</v>
      </c>
      <c r="I242" s="69" t="s">
        <v>1394</v>
      </c>
      <c r="J242" s="147" t="s">
        <v>989</v>
      </c>
      <c r="K242" s="147" t="s">
        <v>989</v>
      </c>
      <c r="S242" s="392"/>
      <c r="T242" s="161"/>
      <c r="U242" s="434"/>
      <c r="V242" s="161"/>
    </row>
    <row r="243" spans="1:22" ht="16.5" customHeight="1">
      <c r="A243" s="1858"/>
      <c r="B243" s="147" t="s">
        <v>1050</v>
      </c>
      <c r="C243" s="424" t="s">
        <v>511</v>
      </c>
      <c r="E243" s="1883"/>
      <c r="F243" s="429" t="s">
        <v>1395</v>
      </c>
      <c r="G243" s="407" t="s">
        <v>127</v>
      </c>
      <c r="H243" s="420" t="s">
        <v>102</v>
      </c>
      <c r="I243" s="69" t="s">
        <v>1395</v>
      </c>
      <c r="J243" s="147" t="s">
        <v>1050</v>
      </c>
      <c r="K243" s="147" t="s">
        <v>1050</v>
      </c>
      <c r="S243" s="392"/>
      <c r="T243" s="161"/>
      <c r="U243" s="434"/>
      <c r="V243" s="161"/>
    </row>
    <row r="244" spans="1:22" ht="16.5" customHeight="1">
      <c r="A244" s="1859"/>
      <c r="B244" s="361" t="s">
        <v>1124</v>
      </c>
      <c r="C244" s="430" t="s">
        <v>517</v>
      </c>
      <c r="E244" s="1883"/>
      <c r="F244" s="429" t="s">
        <v>1396</v>
      </c>
      <c r="G244" s="407" t="s">
        <v>911</v>
      </c>
      <c r="H244" s="420" t="s">
        <v>103</v>
      </c>
      <c r="I244" s="69" t="s">
        <v>1396</v>
      </c>
      <c r="J244" s="361" t="s">
        <v>1124</v>
      </c>
      <c r="K244" s="361" t="s">
        <v>1124</v>
      </c>
      <c r="S244" s="392"/>
      <c r="T244" s="161"/>
      <c r="U244" s="434"/>
      <c r="V244" s="161"/>
    </row>
    <row r="245" spans="1:22" ht="16.5" customHeight="1">
      <c r="A245" s="1860" t="s">
        <v>215</v>
      </c>
      <c r="B245" s="427" t="s">
        <v>566</v>
      </c>
      <c r="C245" s="423" t="s">
        <v>511</v>
      </c>
      <c r="E245" s="1883"/>
      <c r="F245" s="429" t="s">
        <v>1397</v>
      </c>
      <c r="G245" s="407" t="s">
        <v>127</v>
      </c>
      <c r="H245" s="420" t="s">
        <v>102</v>
      </c>
      <c r="I245" s="69" t="s">
        <v>1397</v>
      </c>
      <c r="J245" s="427" t="s">
        <v>566</v>
      </c>
      <c r="K245" s="427" t="s">
        <v>566</v>
      </c>
      <c r="S245" s="392"/>
      <c r="T245" s="161"/>
      <c r="U245" s="434"/>
      <c r="V245" s="161"/>
    </row>
    <row r="246" spans="1:22" ht="16.5" customHeight="1">
      <c r="A246" s="1861"/>
      <c r="B246" s="429" t="s">
        <v>567</v>
      </c>
      <c r="C246" s="424" t="s">
        <v>517</v>
      </c>
      <c r="E246" s="1883"/>
      <c r="F246" s="429" t="s">
        <v>1398</v>
      </c>
      <c r="G246" s="407" t="s">
        <v>911</v>
      </c>
      <c r="H246" s="420" t="s">
        <v>103</v>
      </c>
      <c r="I246" s="69" t="s">
        <v>1398</v>
      </c>
      <c r="J246" s="429" t="s">
        <v>567</v>
      </c>
      <c r="K246" s="429" t="s">
        <v>567</v>
      </c>
      <c r="S246" s="392"/>
      <c r="T246" s="161"/>
      <c r="U246" s="434"/>
      <c r="V246" s="161"/>
    </row>
    <row r="247" spans="1:22" ht="16.5" customHeight="1">
      <c r="A247" s="1861"/>
      <c r="B247" s="429" t="s">
        <v>1387</v>
      </c>
      <c r="C247" s="424" t="s">
        <v>916</v>
      </c>
      <c r="E247" s="1883"/>
      <c r="F247" s="429" t="s">
        <v>1399</v>
      </c>
      <c r="G247" s="407" t="s">
        <v>127</v>
      </c>
      <c r="H247" s="420" t="s">
        <v>102</v>
      </c>
      <c r="I247" s="69" t="s">
        <v>1399</v>
      </c>
      <c r="J247" s="429" t="s">
        <v>1387</v>
      </c>
      <c r="K247" s="429" t="s">
        <v>1388</v>
      </c>
      <c r="S247" s="392"/>
      <c r="T247" s="161"/>
      <c r="U247" s="434"/>
      <c r="V247" s="161"/>
    </row>
    <row r="248" spans="1:22" ht="16.5" customHeight="1">
      <c r="A248" s="1861"/>
      <c r="B248" s="429" t="s">
        <v>1389</v>
      </c>
      <c r="C248" s="424" t="s">
        <v>932</v>
      </c>
      <c r="E248" s="1884"/>
      <c r="F248" s="431" t="s">
        <v>1400</v>
      </c>
      <c r="G248" s="413" t="s">
        <v>911</v>
      </c>
      <c r="H248" s="426" t="s">
        <v>103</v>
      </c>
      <c r="I248" s="69" t="s">
        <v>1400</v>
      </c>
      <c r="J248" s="429" t="s">
        <v>1389</v>
      </c>
      <c r="K248" s="429" t="s">
        <v>1388</v>
      </c>
      <c r="S248" s="392"/>
      <c r="T248" s="161"/>
      <c r="U248" s="434"/>
      <c r="V248" s="161"/>
    </row>
    <row r="249" spans="1:22" ht="16.5" customHeight="1">
      <c r="A249" s="1861"/>
      <c r="B249" s="429" t="s">
        <v>1390</v>
      </c>
      <c r="C249" s="424" t="s">
        <v>1227</v>
      </c>
      <c r="E249" s="1885" t="s">
        <v>248</v>
      </c>
      <c r="F249" s="427" t="s">
        <v>579</v>
      </c>
      <c r="G249" s="428" t="s">
        <v>1401</v>
      </c>
      <c r="H249" s="417" t="s">
        <v>102</v>
      </c>
      <c r="J249" s="429" t="s">
        <v>1390</v>
      </c>
      <c r="K249" s="429" t="s">
        <v>1391</v>
      </c>
      <c r="S249" s="392"/>
      <c r="T249" s="432"/>
      <c r="U249" s="434"/>
      <c r="V249" s="432"/>
    </row>
    <row r="250" spans="1:22" ht="16.5" customHeight="1">
      <c r="A250" s="1861"/>
      <c r="B250" s="429" t="s">
        <v>1392</v>
      </c>
      <c r="C250" s="424" t="s">
        <v>922</v>
      </c>
      <c r="E250" s="1886"/>
      <c r="F250" s="429" t="s">
        <v>583</v>
      </c>
      <c r="G250" s="407" t="s">
        <v>1402</v>
      </c>
      <c r="H250" s="420" t="s">
        <v>103</v>
      </c>
      <c r="J250" s="429" t="s">
        <v>1392</v>
      </c>
      <c r="K250" s="429" t="s">
        <v>1391</v>
      </c>
      <c r="S250" s="392"/>
      <c r="T250" s="432"/>
      <c r="U250" s="434"/>
      <c r="V250" s="432"/>
    </row>
    <row r="251" spans="1:22" ht="16.5" customHeight="1">
      <c r="A251" s="1861"/>
      <c r="B251" s="429" t="s">
        <v>1393</v>
      </c>
      <c r="C251" s="424" t="s">
        <v>941</v>
      </c>
      <c r="E251" s="1886"/>
      <c r="F251" s="429" t="s">
        <v>1403</v>
      </c>
      <c r="G251" s="407" t="s">
        <v>1401</v>
      </c>
      <c r="H251" s="420" t="s">
        <v>102</v>
      </c>
      <c r="J251" s="429" t="s">
        <v>1393</v>
      </c>
      <c r="K251" s="429" t="s">
        <v>1393</v>
      </c>
      <c r="S251" s="392"/>
    </row>
    <row r="252" spans="1:22" ht="16.5" customHeight="1">
      <c r="A252" s="1861"/>
      <c r="B252" s="429" t="s">
        <v>1394</v>
      </c>
      <c r="C252" s="424" t="s">
        <v>1386</v>
      </c>
      <c r="E252" s="1886"/>
      <c r="F252" s="429" t="s">
        <v>1404</v>
      </c>
      <c r="G252" s="407" t="s">
        <v>1401</v>
      </c>
      <c r="H252" s="420" t="s">
        <v>102</v>
      </c>
      <c r="J252" s="429" t="s">
        <v>1394</v>
      </c>
      <c r="K252" s="429" t="s">
        <v>1394</v>
      </c>
      <c r="S252" s="392"/>
    </row>
    <row r="253" spans="1:22" ht="16.5" customHeight="1">
      <c r="A253" s="1861"/>
      <c r="B253" s="429" t="s">
        <v>1395</v>
      </c>
      <c r="C253" s="424" t="s">
        <v>1405</v>
      </c>
      <c r="E253" s="1886"/>
      <c r="F253" s="429" t="s">
        <v>1406</v>
      </c>
      <c r="G253" s="407" t="s">
        <v>1402</v>
      </c>
      <c r="H253" s="420" t="s">
        <v>103</v>
      </c>
      <c r="J253" s="429" t="s">
        <v>1395</v>
      </c>
      <c r="K253" s="429" t="s">
        <v>1395</v>
      </c>
      <c r="S253" s="392"/>
    </row>
    <row r="254" spans="1:22" ht="16.5" customHeight="1">
      <c r="A254" s="1861"/>
      <c r="B254" s="429" t="s">
        <v>1396</v>
      </c>
      <c r="C254" s="424" t="s">
        <v>1386</v>
      </c>
      <c r="E254" s="1886"/>
      <c r="F254" s="429" t="s">
        <v>1407</v>
      </c>
      <c r="G254" s="407" t="s">
        <v>1402</v>
      </c>
      <c r="H254" s="420" t="s">
        <v>103</v>
      </c>
      <c r="J254" s="429" t="s">
        <v>1396</v>
      </c>
      <c r="K254" s="429" t="s">
        <v>1396</v>
      </c>
      <c r="S254" s="392"/>
    </row>
    <row r="255" spans="1:22" ht="16.5" customHeight="1">
      <c r="A255" s="1861"/>
      <c r="B255" s="429" t="s">
        <v>1397</v>
      </c>
      <c r="C255" s="424" t="s">
        <v>896</v>
      </c>
      <c r="E255" s="1886"/>
      <c r="F255" s="429" t="s">
        <v>1408</v>
      </c>
      <c r="G255" s="407" t="s">
        <v>1401</v>
      </c>
      <c r="H255" s="420" t="s">
        <v>102</v>
      </c>
      <c r="J255" s="429" t="s">
        <v>1397</v>
      </c>
      <c r="K255" s="429" t="s">
        <v>1397</v>
      </c>
      <c r="S255" s="392"/>
    </row>
    <row r="256" spans="1:22" ht="16.5" customHeight="1">
      <c r="A256" s="1861"/>
      <c r="B256" s="429" t="s">
        <v>1398</v>
      </c>
      <c r="C256" s="424" t="s">
        <v>901</v>
      </c>
      <c r="E256" s="1886"/>
      <c r="F256" s="429" t="s">
        <v>1409</v>
      </c>
      <c r="G256" s="407" t="s">
        <v>1402</v>
      </c>
      <c r="H256" s="420" t="s">
        <v>103</v>
      </c>
      <c r="J256" s="429" t="s">
        <v>1398</v>
      </c>
      <c r="K256" s="429" t="s">
        <v>1398</v>
      </c>
      <c r="S256" s="392"/>
    </row>
    <row r="257" spans="1:19" ht="16.5" customHeight="1">
      <c r="A257" s="1861"/>
      <c r="B257" s="429" t="s">
        <v>1399</v>
      </c>
      <c r="C257" s="424" t="s">
        <v>1377</v>
      </c>
      <c r="E257" s="1886"/>
      <c r="F257" s="429" t="s">
        <v>1410</v>
      </c>
      <c r="G257" s="407" t="s">
        <v>1401</v>
      </c>
      <c r="H257" s="420" t="s">
        <v>102</v>
      </c>
      <c r="J257" s="429" t="s">
        <v>1399</v>
      </c>
      <c r="K257" s="429" t="s">
        <v>1399</v>
      </c>
      <c r="S257" s="392"/>
    </row>
    <row r="258" spans="1:19" ht="16.5" customHeight="1">
      <c r="A258" s="1861"/>
      <c r="B258" s="429" t="s">
        <v>1400</v>
      </c>
      <c r="C258" s="424" t="s">
        <v>1379</v>
      </c>
      <c r="E258" s="1887"/>
      <c r="F258" s="431" t="s">
        <v>1411</v>
      </c>
      <c r="G258" s="413" t="s">
        <v>1402</v>
      </c>
      <c r="H258" s="426" t="s">
        <v>103</v>
      </c>
      <c r="J258" s="429" t="s">
        <v>1400</v>
      </c>
      <c r="K258" s="429" t="s">
        <v>1400</v>
      </c>
      <c r="S258" s="392"/>
    </row>
    <row r="259" spans="1:19" ht="16.5" customHeight="1">
      <c r="A259" s="1861"/>
      <c r="B259" s="429" t="s">
        <v>1412</v>
      </c>
      <c r="C259" s="122" t="s">
        <v>1413</v>
      </c>
      <c r="E259" s="1888" t="s">
        <v>280</v>
      </c>
      <c r="F259" s="435" t="s">
        <v>511</v>
      </c>
      <c r="G259" s="436" t="s">
        <v>102</v>
      </c>
      <c r="H259" s="417" t="s">
        <v>102</v>
      </c>
      <c r="J259" s="429" t="s">
        <v>1412</v>
      </c>
      <c r="K259" s="429" t="s">
        <v>1412</v>
      </c>
      <c r="S259" s="392"/>
    </row>
    <row r="260" spans="1:19" ht="16.5" customHeight="1">
      <c r="A260" s="1861"/>
      <c r="B260" s="429" t="s">
        <v>1414</v>
      </c>
      <c r="C260" s="122" t="s">
        <v>1415</v>
      </c>
      <c r="E260" s="1888"/>
      <c r="F260" s="418" t="s">
        <v>517</v>
      </c>
      <c r="G260" s="419" t="s">
        <v>103</v>
      </c>
      <c r="H260" s="420" t="s">
        <v>103</v>
      </c>
      <c r="J260" s="429" t="s">
        <v>1414</v>
      </c>
      <c r="K260" s="429" t="s">
        <v>1414</v>
      </c>
      <c r="S260" s="392"/>
    </row>
    <row r="261" spans="1:19" ht="16.5" customHeight="1">
      <c r="A261" s="1861"/>
      <c r="B261" s="431" t="s">
        <v>1416</v>
      </c>
      <c r="C261" s="125" t="s">
        <v>1383</v>
      </c>
      <c r="E261" s="1888"/>
      <c r="F261" s="418" t="s">
        <v>916</v>
      </c>
      <c r="G261" s="419" t="s">
        <v>102</v>
      </c>
      <c r="H261" s="420" t="s">
        <v>102</v>
      </c>
      <c r="J261" s="431" t="s">
        <v>1416</v>
      </c>
      <c r="K261" s="431" t="s">
        <v>1416</v>
      </c>
      <c r="S261" s="392"/>
    </row>
    <row r="262" spans="1:19" ht="16.5" customHeight="1">
      <c r="A262" s="1862"/>
      <c r="B262" s="431" t="s">
        <v>576</v>
      </c>
      <c r="C262" s="125" t="s">
        <v>577</v>
      </c>
      <c r="E262" s="1888"/>
      <c r="F262" s="418" t="s">
        <v>922</v>
      </c>
      <c r="G262" s="419" t="s">
        <v>103</v>
      </c>
      <c r="H262" s="420" t="s">
        <v>103</v>
      </c>
      <c r="J262" s="431" t="s">
        <v>576</v>
      </c>
      <c r="K262" s="431" t="s">
        <v>576</v>
      </c>
      <c r="S262" s="392"/>
    </row>
    <row r="263" spans="1:19" ht="16.5" customHeight="1">
      <c r="A263" s="1864" t="s">
        <v>248</v>
      </c>
      <c r="B263" s="427" t="s">
        <v>579</v>
      </c>
      <c r="C263" s="423" t="s">
        <v>511</v>
      </c>
      <c r="E263" s="1888"/>
      <c r="F263" s="418" t="s">
        <v>941</v>
      </c>
      <c r="G263" s="419" t="s">
        <v>102</v>
      </c>
      <c r="H263" s="420" t="s">
        <v>102</v>
      </c>
      <c r="J263" s="427" t="s">
        <v>579</v>
      </c>
      <c r="K263" s="427" t="s">
        <v>579</v>
      </c>
      <c r="S263" s="392"/>
    </row>
    <row r="264" spans="1:19" ht="16.5" customHeight="1">
      <c r="A264" s="1864"/>
      <c r="B264" s="429" t="s">
        <v>583</v>
      </c>
      <c r="C264" s="424" t="s">
        <v>517</v>
      </c>
      <c r="E264" s="1888"/>
      <c r="F264" s="418" t="s">
        <v>1386</v>
      </c>
      <c r="G264" s="419" t="s">
        <v>103</v>
      </c>
      <c r="H264" s="420" t="s">
        <v>103</v>
      </c>
      <c r="J264" s="429" t="s">
        <v>583</v>
      </c>
      <c r="K264" s="429" t="s">
        <v>583</v>
      </c>
      <c r="S264" s="392"/>
    </row>
    <row r="265" spans="1:19" ht="16.5" customHeight="1">
      <c r="A265" s="1864"/>
      <c r="B265" s="429" t="s">
        <v>1403</v>
      </c>
      <c r="C265" s="424" t="s">
        <v>916</v>
      </c>
      <c r="E265" s="1888"/>
      <c r="F265" s="418" t="s">
        <v>896</v>
      </c>
      <c r="G265" s="419" t="s">
        <v>102</v>
      </c>
      <c r="H265" s="420" t="s">
        <v>102</v>
      </c>
      <c r="J265" s="429" t="s">
        <v>1403</v>
      </c>
      <c r="K265" s="429" t="s">
        <v>1403</v>
      </c>
      <c r="L265" s="69"/>
      <c r="S265" s="392"/>
    </row>
    <row r="266" spans="1:19" ht="16.5" customHeight="1">
      <c r="A266" s="1864"/>
      <c r="B266" s="429" t="s">
        <v>1404</v>
      </c>
      <c r="C266" s="424" t="s">
        <v>932</v>
      </c>
      <c r="E266" s="1888"/>
      <c r="F266" s="418" t="s">
        <v>901</v>
      </c>
      <c r="G266" s="419" t="s">
        <v>103</v>
      </c>
      <c r="H266" s="420" t="s">
        <v>103</v>
      </c>
      <c r="J266" s="429" t="s">
        <v>1404</v>
      </c>
      <c r="K266" s="429" t="s">
        <v>1404</v>
      </c>
      <c r="L266" s="69"/>
      <c r="S266" s="392"/>
    </row>
    <row r="267" spans="1:19" ht="16.5" customHeight="1">
      <c r="A267" s="1864"/>
      <c r="B267" s="429" t="s">
        <v>1406</v>
      </c>
      <c r="C267" s="424" t="s">
        <v>922</v>
      </c>
      <c r="E267" s="1888"/>
      <c r="F267" s="418" t="s">
        <v>1227</v>
      </c>
      <c r="G267" s="419" t="s">
        <v>103</v>
      </c>
      <c r="H267" s="420" t="s">
        <v>103</v>
      </c>
      <c r="J267" s="429" t="s">
        <v>1406</v>
      </c>
      <c r="K267" s="429" t="s">
        <v>1406</v>
      </c>
      <c r="L267" s="69"/>
      <c r="S267" s="392"/>
    </row>
    <row r="268" spans="1:19" ht="16.5" customHeight="1">
      <c r="A268" s="1864"/>
      <c r="B268" s="429" t="s">
        <v>1407</v>
      </c>
      <c r="C268" s="424" t="s">
        <v>1227</v>
      </c>
      <c r="E268" s="1888"/>
      <c r="F268" s="418" t="s">
        <v>932</v>
      </c>
      <c r="G268" s="419" t="s">
        <v>102</v>
      </c>
      <c r="H268" s="420" t="s">
        <v>102</v>
      </c>
      <c r="J268" s="429" t="s">
        <v>1407</v>
      </c>
      <c r="K268" s="429" t="s">
        <v>1407</v>
      </c>
      <c r="L268" s="69"/>
      <c r="S268" s="392"/>
    </row>
    <row r="269" spans="1:19" ht="16.5" customHeight="1">
      <c r="A269" s="1864"/>
      <c r="B269" s="429" t="s">
        <v>1408</v>
      </c>
      <c r="C269" s="424" t="s">
        <v>896</v>
      </c>
      <c r="E269" s="1888"/>
      <c r="F269" s="418" t="s">
        <v>1377</v>
      </c>
      <c r="G269" s="419" t="s">
        <v>102</v>
      </c>
      <c r="H269" s="420" t="s">
        <v>102</v>
      </c>
      <c r="J269" s="429" t="s">
        <v>1408</v>
      </c>
      <c r="K269" s="429" t="s">
        <v>1408</v>
      </c>
      <c r="L269" s="69"/>
      <c r="S269" s="392"/>
    </row>
    <row r="270" spans="1:19" ht="16.5" customHeight="1">
      <c r="A270" s="1864"/>
      <c r="B270" s="429" t="s">
        <v>1409</v>
      </c>
      <c r="C270" s="424" t="s">
        <v>901</v>
      </c>
      <c r="E270" s="1889"/>
      <c r="F270" s="437" t="s">
        <v>1379</v>
      </c>
      <c r="G270" s="438" t="s">
        <v>103</v>
      </c>
      <c r="H270" s="439" t="s">
        <v>103</v>
      </c>
      <c r="J270" s="429" t="s">
        <v>1409</v>
      </c>
      <c r="K270" s="429" t="s">
        <v>1409</v>
      </c>
      <c r="L270" s="69"/>
      <c r="S270" s="392"/>
    </row>
    <row r="271" spans="1:19" ht="16.5" customHeight="1">
      <c r="A271" s="1864"/>
      <c r="B271" s="429" t="s">
        <v>1410</v>
      </c>
      <c r="C271" s="122" t="s">
        <v>1413</v>
      </c>
      <c r="J271" s="429" t="s">
        <v>1410</v>
      </c>
      <c r="K271" s="429" t="s">
        <v>1410</v>
      </c>
      <c r="L271" s="69"/>
      <c r="P271" s="69"/>
      <c r="S271" s="392"/>
    </row>
    <row r="272" spans="1:19" ht="16.5" customHeight="1">
      <c r="A272" s="1864"/>
      <c r="B272" s="429" t="s">
        <v>1411</v>
      </c>
      <c r="C272" s="122" t="s">
        <v>1415</v>
      </c>
      <c r="J272" s="429" t="s">
        <v>1411</v>
      </c>
      <c r="K272" s="429" t="s">
        <v>1411</v>
      </c>
      <c r="L272" s="69"/>
      <c r="P272" s="69"/>
      <c r="S272" s="392"/>
    </row>
    <row r="273" spans="1:19" ht="16.5" customHeight="1">
      <c r="A273" s="1928" t="s">
        <v>280</v>
      </c>
      <c r="B273" s="415" t="s">
        <v>511</v>
      </c>
      <c r="C273" s="423" t="s">
        <v>511</v>
      </c>
      <c r="E273" s="1890" t="s">
        <v>1417</v>
      </c>
      <c r="F273" s="440" t="s">
        <v>135</v>
      </c>
      <c r="G273" s="402" t="s">
        <v>160</v>
      </c>
      <c r="H273" s="441" t="s">
        <v>161</v>
      </c>
      <c r="J273" s="415" t="s">
        <v>511</v>
      </c>
      <c r="K273" s="415" t="s">
        <v>511</v>
      </c>
      <c r="L273" s="69"/>
      <c r="P273" s="69"/>
      <c r="S273" s="392"/>
    </row>
    <row r="274" spans="1:19" ht="16.5" customHeight="1">
      <c r="A274" s="1926"/>
      <c r="B274" s="418" t="s">
        <v>517</v>
      </c>
      <c r="C274" s="424" t="s">
        <v>517</v>
      </c>
      <c r="E274" s="1891"/>
      <c r="F274" s="442" t="s">
        <v>138</v>
      </c>
      <c r="G274" s="407" t="s">
        <v>193</v>
      </c>
      <c r="H274" s="410" t="s">
        <v>194</v>
      </c>
      <c r="J274" s="418" t="s">
        <v>517</v>
      </c>
      <c r="K274" s="418" t="s">
        <v>517</v>
      </c>
      <c r="L274" s="69"/>
      <c r="P274" s="69"/>
      <c r="S274" s="392"/>
    </row>
    <row r="275" spans="1:19" ht="16.5" customHeight="1">
      <c r="A275" s="1926"/>
      <c r="B275" s="418" t="s">
        <v>916</v>
      </c>
      <c r="C275" s="424" t="s">
        <v>916</v>
      </c>
      <c r="E275" s="1891"/>
      <c r="F275" s="443" t="s">
        <v>141</v>
      </c>
      <c r="G275" s="407" t="s">
        <v>126</v>
      </c>
      <c r="H275" s="410" t="s">
        <v>1418</v>
      </c>
      <c r="J275" s="418" t="s">
        <v>916</v>
      </c>
      <c r="K275" s="418" t="s">
        <v>916</v>
      </c>
      <c r="L275" s="69"/>
      <c r="P275" s="69"/>
      <c r="S275" s="392"/>
    </row>
    <row r="276" spans="1:19" ht="16.5" customHeight="1">
      <c r="A276" s="1926"/>
      <c r="B276" s="418" t="s">
        <v>922</v>
      </c>
      <c r="C276" s="424" t="s">
        <v>922</v>
      </c>
      <c r="E276" s="1891"/>
      <c r="F276" s="444" t="s">
        <v>144</v>
      </c>
      <c r="G276" s="407" t="s">
        <v>255</v>
      </c>
      <c r="H276" s="410" t="s">
        <v>256</v>
      </c>
      <c r="J276" s="418" t="s">
        <v>922</v>
      </c>
      <c r="K276" s="418" t="s">
        <v>922</v>
      </c>
      <c r="L276" s="69"/>
      <c r="P276" s="69"/>
    </row>
    <row r="277" spans="1:19" ht="16.5" customHeight="1">
      <c r="A277" s="1926"/>
      <c r="B277" s="418" t="s">
        <v>941</v>
      </c>
      <c r="C277" s="424" t="s">
        <v>941</v>
      </c>
      <c r="E277" s="1892"/>
      <c r="F277" s="445" t="s">
        <v>147</v>
      </c>
      <c r="G277" s="446" t="s">
        <v>126</v>
      </c>
      <c r="H277" s="447" t="s">
        <v>1418</v>
      </c>
      <c r="J277" s="418" t="s">
        <v>941</v>
      </c>
      <c r="K277" s="418" t="s">
        <v>941</v>
      </c>
      <c r="L277" s="69"/>
      <c r="P277" s="69"/>
    </row>
    <row r="278" spans="1:19" ht="16.5" customHeight="1">
      <c r="A278" s="1926"/>
      <c r="B278" s="418" t="s">
        <v>1386</v>
      </c>
      <c r="C278" s="424" t="s">
        <v>1386</v>
      </c>
      <c r="J278" s="418" t="s">
        <v>1386</v>
      </c>
      <c r="K278" s="418" t="s">
        <v>1386</v>
      </c>
      <c r="L278" s="69"/>
      <c r="P278" s="69"/>
    </row>
    <row r="279" spans="1:19" ht="16.5" customHeight="1">
      <c r="A279" s="1926"/>
      <c r="B279" s="418" t="s">
        <v>896</v>
      </c>
      <c r="C279" s="424" t="s">
        <v>896</v>
      </c>
      <c r="J279" s="418" t="s">
        <v>896</v>
      </c>
      <c r="K279" s="418" t="s">
        <v>896</v>
      </c>
      <c r="L279" s="69"/>
      <c r="P279" s="69"/>
    </row>
    <row r="280" spans="1:19" ht="16.5" customHeight="1">
      <c r="A280" s="1926"/>
      <c r="B280" s="418" t="s">
        <v>901</v>
      </c>
      <c r="C280" s="424" t="s">
        <v>901</v>
      </c>
      <c r="J280" s="418" t="s">
        <v>901</v>
      </c>
      <c r="K280" s="418" t="s">
        <v>901</v>
      </c>
      <c r="L280" s="69"/>
      <c r="P280" s="69"/>
    </row>
    <row r="281" spans="1:19" ht="16.5" customHeight="1">
      <c r="A281" s="1926"/>
      <c r="B281" s="418" t="s">
        <v>1227</v>
      </c>
      <c r="C281" s="424" t="s">
        <v>1227</v>
      </c>
      <c r="J281" s="418" t="s">
        <v>1227</v>
      </c>
      <c r="K281" s="418" t="s">
        <v>1227</v>
      </c>
      <c r="L281" s="69"/>
      <c r="P281" s="69"/>
    </row>
    <row r="282" spans="1:19" ht="16.5" customHeight="1">
      <c r="A282" s="1926"/>
      <c r="B282" s="418" t="s">
        <v>932</v>
      </c>
      <c r="C282" s="424" t="s">
        <v>932</v>
      </c>
      <c r="J282" s="418" t="s">
        <v>932</v>
      </c>
      <c r="K282" s="418" t="s">
        <v>932</v>
      </c>
      <c r="L282" s="69"/>
      <c r="P282" s="69"/>
    </row>
    <row r="283" spans="1:19" ht="16.5" customHeight="1">
      <c r="A283" s="1926"/>
      <c r="B283" s="418" t="s">
        <v>1377</v>
      </c>
      <c r="C283" s="424" t="s">
        <v>1377</v>
      </c>
      <c r="J283" s="418" t="s">
        <v>1377</v>
      </c>
      <c r="K283" s="418" t="s">
        <v>1377</v>
      </c>
      <c r="L283" s="69"/>
      <c r="P283" s="69"/>
    </row>
    <row r="284" spans="1:19" ht="16.5" customHeight="1">
      <c r="A284" s="1926"/>
      <c r="B284" s="418" t="s">
        <v>1379</v>
      </c>
      <c r="C284" s="424" t="s">
        <v>1379</v>
      </c>
      <c r="J284" s="418" t="s">
        <v>1379</v>
      </c>
      <c r="K284" s="418" t="s">
        <v>1379</v>
      </c>
      <c r="L284" s="69"/>
      <c r="P284" s="69"/>
    </row>
    <row r="285" spans="1:19" ht="16.5" customHeight="1">
      <c r="A285" s="1926"/>
      <c r="B285" s="418" t="s">
        <v>511</v>
      </c>
      <c r="C285" s="424" t="s">
        <v>511</v>
      </c>
      <c r="J285" s="418" t="s">
        <v>511</v>
      </c>
      <c r="K285" s="418" t="s">
        <v>511</v>
      </c>
      <c r="L285" s="69"/>
      <c r="P285" s="69"/>
    </row>
    <row r="286" spans="1:19" ht="16.5" customHeight="1">
      <c r="A286" s="1926"/>
      <c r="B286" s="418" t="s">
        <v>517</v>
      </c>
      <c r="C286" s="424" t="s">
        <v>517</v>
      </c>
      <c r="J286" s="418" t="s">
        <v>517</v>
      </c>
      <c r="K286" s="418" t="s">
        <v>517</v>
      </c>
      <c r="L286" s="69"/>
      <c r="P286" s="69"/>
    </row>
    <row r="287" spans="1:19" ht="16.5" customHeight="1">
      <c r="A287" s="1926"/>
      <c r="B287" s="418" t="s">
        <v>511</v>
      </c>
      <c r="C287" s="424" t="s">
        <v>511</v>
      </c>
      <c r="J287" s="418" t="s">
        <v>511</v>
      </c>
      <c r="K287" s="418" t="s">
        <v>511</v>
      </c>
      <c r="L287" s="69"/>
      <c r="P287" s="69"/>
    </row>
    <row r="288" spans="1:19" ht="16.5" customHeight="1">
      <c r="A288" s="1927"/>
      <c r="B288" s="437" t="s">
        <v>517</v>
      </c>
      <c r="C288" s="448" t="s">
        <v>517</v>
      </c>
      <c r="J288" s="437" t="s">
        <v>517</v>
      </c>
      <c r="K288" s="437" t="s">
        <v>517</v>
      </c>
      <c r="L288" s="69"/>
      <c r="P288" s="69"/>
    </row>
    <row r="289" spans="1:16" ht="16.5" customHeight="1">
      <c r="L289" s="69"/>
      <c r="P289" s="69"/>
    </row>
    <row r="290" spans="1:16" ht="16.5" customHeight="1">
      <c r="L290" s="69"/>
      <c r="P290" s="69"/>
    </row>
    <row r="291" spans="1:16" ht="16.5" customHeight="1">
      <c r="A291" s="1816" t="s">
        <v>1419</v>
      </c>
      <c r="B291" s="1817"/>
      <c r="C291" s="1818"/>
      <c r="E291" s="1816" t="s">
        <v>1420</v>
      </c>
      <c r="F291" s="1817"/>
      <c r="G291" s="1818"/>
      <c r="L291" s="69"/>
      <c r="P291" s="69"/>
    </row>
    <row r="292" spans="1:16" ht="16.5" customHeight="1">
      <c r="A292" s="1929" t="s">
        <v>438</v>
      </c>
      <c r="B292" s="449" t="s">
        <v>1421</v>
      </c>
      <c r="C292" s="450" t="s">
        <v>1422</v>
      </c>
      <c r="E292" s="1893" t="s">
        <v>369</v>
      </c>
      <c r="F292" s="451" t="s">
        <v>137</v>
      </c>
      <c r="G292" s="452" t="s">
        <v>102</v>
      </c>
      <c r="L292" s="69"/>
      <c r="P292" s="69"/>
    </row>
    <row r="293" spans="1:16" ht="16.5" customHeight="1">
      <c r="A293" s="1930"/>
      <c r="B293" s="453" t="s">
        <v>1423</v>
      </c>
      <c r="C293" s="454" t="s">
        <v>1424</v>
      </c>
      <c r="E293" s="1894"/>
      <c r="F293" s="455" t="s">
        <v>139</v>
      </c>
      <c r="G293" s="456" t="s">
        <v>103</v>
      </c>
      <c r="L293" s="69"/>
      <c r="P293" s="69"/>
    </row>
    <row r="294" spans="1:16" ht="16.5" customHeight="1">
      <c r="A294" s="1930"/>
      <c r="B294" s="457" t="s">
        <v>1425</v>
      </c>
      <c r="C294" s="458" t="s">
        <v>1426</v>
      </c>
      <c r="E294" s="1895" t="s">
        <v>429</v>
      </c>
      <c r="F294" s="459" t="s">
        <v>102</v>
      </c>
      <c r="G294" s="460" t="s">
        <v>102</v>
      </c>
      <c r="P294" s="69"/>
    </row>
    <row r="295" spans="1:16" ht="16.5" customHeight="1">
      <c r="A295" s="1930"/>
      <c r="B295" s="457" t="s">
        <v>1427</v>
      </c>
      <c r="C295" s="458" t="s">
        <v>1428</v>
      </c>
      <c r="E295" s="1896"/>
      <c r="F295" s="455" t="s">
        <v>103</v>
      </c>
      <c r="G295" s="456" t="s">
        <v>103</v>
      </c>
      <c r="P295" s="69"/>
    </row>
    <row r="296" spans="1:16" ht="16.5" customHeight="1">
      <c r="A296" s="1930"/>
      <c r="B296" s="461" t="s">
        <v>1429</v>
      </c>
      <c r="C296" s="462" t="s">
        <v>1430</v>
      </c>
      <c r="D296" s="82"/>
      <c r="E296" s="1897" t="s">
        <v>441</v>
      </c>
      <c r="F296" s="463" t="s">
        <v>148</v>
      </c>
      <c r="G296" s="460" t="s">
        <v>102</v>
      </c>
      <c r="P296" s="69"/>
    </row>
    <row r="297" spans="1:16" ht="16.5" customHeight="1">
      <c r="A297" s="1930"/>
      <c r="B297" s="457" t="s">
        <v>1431</v>
      </c>
      <c r="C297" s="458" t="s">
        <v>1432</v>
      </c>
      <c r="D297" s="82"/>
      <c r="E297" s="1897"/>
      <c r="F297" s="464" t="s">
        <v>153</v>
      </c>
      <c r="G297" s="456" t="s">
        <v>103</v>
      </c>
      <c r="P297" s="69"/>
    </row>
    <row r="298" spans="1:16" ht="16.5" customHeight="1">
      <c r="A298" s="1930"/>
      <c r="B298" s="457" t="s">
        <v>1433</v>
      </c>
      <c r="C298" s="458" t="s">
        <v>1266</v>
      </c>
      <c r="D298" s="82"/>
      <c r="E298" s="1897"/>
      <c r="F298" s="465" t="s">
        <v>127</v>
      </c>
      <c r="G298" s="460" t="s">
        <v>102</v>
      </c>
      <c r="P298" s="69"/>
    </row>
    <row r="299" spans="1:16" ht="16.5" customHeight="1">
      <c r="A299" s="1930"/>
      <c r="B299" s="457" t="s">
        <v>1434</v>
      </c>
      <c r="C299" s="458" t="s">
        <v>1435</v>
      </c>
      <c r="D299" s="82"/>
      <c r="E299" s="1898"/>
      <c r="F299" s="465" t="s">
        <v>911</v>
      </c>
      <c r="G299" s="456" t="s">
        <v>103</v>
      </c>
      <c r="P299" s="69"/>
    </row>
    <row r="300" spans="1:16" ht="16.5" customHeight="1">
      <c r="A300" s="1930"/>
      <c r="B300" s="461" t="s">
        <v>1436</v>
      </c>
      <c r="C300" s="462" t="s">
        <v>1437</v>
      </c>
      <c r="E300" s="1899" t="s">
        <v>462</v>
      </c>
      <c r="F300" s="459" t="s">
        <v>187</v>
      </c>
      <c r="G300" s="460" t="s">
        <v>102</v>
      </c>
      <c r="P300" s="69"/>
    </row>
    <row r="301" spans="1:16" ht="16.5" customHeight="1">
      <c r="A301" s="1930"/>
      <c r="B301" s="457" t="s">
        <v>1438</v>
      </c>
      <c r="C301" s="458" t="s">
        <v>1439</v>
      </c>
      <c r="E301" s="1900"/>
      <c r="F301" s="455" t="s">
        <v>217</v>
      </c>
      <c r="G301" s="456" t="s">
        <v>103</v>
      </c>
      <c r="P301" s="69"/>
    </row>
    <row r="302" spans="1:16" ht="16.5" customHeight="1">
      <c r="A302" s="1930"/>
      <c r="B302" s="457" t="s">
        <v>1440</v>
      </c>
      <c r="C302" s="458" t="s">
        <v>1441</v>
      </c>
      <c r="E302" s="1901" t="s">
        <v>476</v>
      </c>
      <c r="F302" s="466" t="s">
        <v>102</v>
      </c>
      <c r="G302" s="316" t="s">
        <v>102</v>
      </c>
      <c r="P302" s="69"/>
    </row>
    <row r="303" spans="1:16" ht="16.5" customHeight="1">
      <c r="A303" s="1930"/>
      <c r="B303" s="457" t="s">
        <v>1442</v>
      </c>
      <c r="C303" s="458" t="s">
        <v>1443</v>
      </c>
      <c r="E303" s="1902"/>
      <c r="F303" s="467" t="s">
        <v>103</v>
      </c>
      <c r="G303" s="468" t="s">
        <v>103</v>
      </c>
      <c r="P303" s="69"/>
    </row>
    <row r="304" spans="1:16" ht="16.5" customHeight="1">
      <c r="A304" s="1930"/>
      <c r="B304" s="457" t="s">
        <v>1444</v>
      </c>
      <c r="C304" s="458" t="s">
        <v>1445</v>
      </c>
      <c r="P304" s="69"/>
    </row>
    <row r="305" spans="1:16" ht="16.5" customHeight="1">
      <c r="A305" s="1930"/>
      <c r="B305" s="457" t="s">
        <v>1446</v>
      </c>
      <c r="C305" s="458" t="s">
        <v>1447</v>
      </c>
      <c r="P305" s="69"/>
    </row>
    <row r="306" spans="1:16" ht="16.5" customHeight="1">
      <c r="A306" s="1930"/>
      <c r="B306" s="457" t="s">
        <v>1448</v>
      </c>
      <c r="C306" s="458" t="s">
        <v>1449</v>
      </c>
      <c r="P306" s="69"/>
    </row>
    <row r="307" spans="1:16" ht="16.5" customHeight="1">
      <c r="A307" s="1930"/>
      <c r="B307" s="457" t="s">
        <v>1450</v>
      </c>
      <c r="C307" s="458" t="s">
        <v>1451</v>
      </c>
      <c r="P307" s="69"/>
    </row>
    <row r="308" spans="1:16" ht="16.5" customHeight="1">
      <c r="A308" s="1930"/>
      <c r="B308" s="457" t="s">
        <v>1452</v>
      </c>
      <c r="C308" s="458" t="s">
        <v>1453</v>
      </c>
      <c r="P308" s="69"/>
    </row>
    <row r="309" spans="1:16" ht="16.5" customHeight="1">
      <c r="A309" s="1930"/>
      <c r="B309" s="457" t="s">
        <v>1454</v>
      </c>
      <c r="C309" s="458" t="s">
        <v>1455</v>
      </c>
      <c r="P309" s="69"/>
    </row>
    <row r="310" spans="1:16" ht="16.5" customHeight="1">
      <c r="A310" s="1930"/>
      <c r="B310" s="457" t="s">
        <v>1456</v>
      </c>
      <c r="C310" s="458" t="s">
        <v>1457</v>
      </c>
      <c r="P310" s="69"/>
    </row>
    <row r="311" spans="1:16" ht="16.5" customHeight="1">
      <c r="A311" s="1930"/>
      <c r="B311" s="457" t="s">
        <v>1458</v>
      </c>
      <c r="C311" s="458" t="s">
        <v>1459</v>
      </c>
      <c r="P311" s="69"/>
    </row>
    <row r="312" spans="1:16" ht="16.5" customHeight="1">
      <c r="A312" s="1930"/>
      <c r="B312" s="457" t="s">
        <v>1460</v>
      </c>
      <c r="C312" s="458" t="s">
        <v>1461</v>
      </c>
      <c r="P312" s="69"/>
    </row>
    <row r="313" spans="1:16" ht="16.5" customHeight="1">
      <c r="A313" s="1930"/>
      <c r="B313" s="457" t="s">
        <v>1462</v>
      </c>
      <c r="C313" s="458" t="s">
        <v>1463</v>
      </c>
      <c r="P313" s="69"/>
    </row>
    <row r="314" spans="1:16" ht="16.5" customHeight="1">
      <c r="A314" s="1930"/>
      <c r="B314" s="457" t="s">
        <v>1464</v>
      </c>
      <c r="C314" s="458" t="s">
        <v>1465</v>
      </c>
      <c r="P314" s="69"/>
    </row>
    <row r="315" spans="1:16" ht="16.5" customHeight="1">
      <c r="A315" s="1930"/>
      <c r="B315" s="457" t="s">
        <v>1466</v>
      </c>
      <c r="C315" s="458" t="s">
        <v>1467</v>
      </c>
      <c r="P315" s="69"/>
    </row>
    <row r="316" spans="1:16" ht="16.5" customHeight="1">
      <c r="A316" s="1930"/>
      <c r="B316" s="457" t="s">
        <v>1468</v>
      </c>
      <c r="C316" s="458" t="s">
        <v>1469</v>
      </c>
      <c r="P316" s="69"/>
    </row>
    <row r="317" spans="1:16" ht="16.5" customHeight="1">
      <c r="A317" s="1930"/>
      <c r="B317" s="457" t="s">
        <v>1470</v>
      </c>
      <c r="C317" s="458" t="s">
        <v>1471</v>
      </c>
      <c r="P317" s="69"/>
    </row>
    <row r="318" spans="1:16" ht="16.5" customHeight="1">
      <c r="A318" s="1930"/>
      <c r="B318" s="457" t="s">
        <v>1472</v>
      </c>
      <c r="C318" s="458" t="s">
        <v>1473</v>
      </c>
      <c r="P318" s="69"/>
    </row>
    <row r="319" spans="1:16" ht="16.5" customHeight="1">
      <c r="A319" s="1930"/>
      <c r="B319" s="457" t="s">
        <v>1474</v>
      </c>
      <c r="C319" s="458" t="s">
        <v>1475</v>
      </c>
      <c r="P319" s="69"/>
    </row>
    <row r="320" spans="1:16" ht="16.5" customHeight="1">
      <c r="A320" s="1930"/>
      <c r="B320" s="457" t="s">
        <v>1476</v>
      </c>
      <c r="C320" s="458" t="s">
        <v>1477</v>
      </c>
      <c r="P320" s="69"/>
    </row>
    <row r="321" spans="1:16" ht="16.5" customHeight="1">
      <c r="A321" s="1930"/>
      <c r="B321" s="457" t="s">
        <v>1478</v>
      </c>
      <c r="C321" s="458" t="s">
        <v>1479</v>
      </c>
      <c r="P321" s="69"/>
    </row>
    <row r="322" spans="1:16" ht="16.5" customHeight="1">
      <c r="A322" s="1930"/>
      <c r="B322" s="457" t="s">
        <v>1480</v>
      </c>
      <c r="C322" s="458" t="s">
        <v>1481</v>
      </c>
      <c r="P322" s="69"/>
    </row>
    <row r="323" spans="1:16" ht="16.5" customHeight="1">
      <c r="A323" s="1930"/>
      <c r="B323" s="457" t="s">
        <v>1482</v>
      </c>
      <c r="C323" s="458" t="s">
        <v>1483</v>
      </c>
      <c r="P323" s="69"/>
    </row>
    <row r="324" spans="1:16" ht="16.5" customHeight="1">
      <c r="A324" s="1931"/>
      <c r="B324" s="469" t="s">
        <v>1484</v>
      </c>
      <c r="C324" s="470" t="s">
        <v>1485</v>
      </c>
      <c r="P324" s="69"/>
    </row>
    <row r="325" spans="1:16" ht="16.5" customHeight="1">
      <c r="A325" s="1932" t="s">
        <v>440</v>
      </c>
      <c r="B325" s="471" t="s">
        <v>1486</v>
      </c>
      <c r="C325" s="472" t="s">
        <v>1487</v>
      </c>
      <c r="P325" s="69"/>
    </row>
    <row r="326" spans="1:16" ht="16.5" customHeight="1">
      <c r="A326" s="1933"/>
      <c r="B326" s="473" t="s">
        <v>1488</v>
      </c>
      <c r="C326" s="474" t="s">
        <v>1488</v>
      </c>
      <c r="P326" s="69"/>
    </row>
    <row r="327" spans="1:16" ht="16.5" customHeight="1">
      <c r="A327" s="1933"/>
      <c r="B327" s="473" t="s">
        <v>1489</v>
      </c>
      <c r="C327" s="474" t="s">
        <v>1490</v>
      </c>
      <c r="P327" s="69"/>
    </row>
    <row r="328" spans="1:16" ht="16.5" customHeight="1">
      <c r="A328" s="1933"/>
      <c r="B328" s="473" t="s">
        <v>1491</v>
      </c>
      <c r="C328" s="474" t="s">
        <v>1492</v>
      </c>
      <c r="P328" s="69"/>
    </row>
    <row r="329" spans="1:16" ht="16.5" customHeight="1">
      <c r="A329" s="1933"/>
      <c r="B329" s="473" t="s">
        <v>1493</v>
      </c>
      <c r="C329" s="474" t="s">
        <v>1494</v>
      </c>
      <c r="P329" s="69"/>
    </row>
    <row r="330" spans="1:16" ht="16.5" customHeight="1">
      <c r="A330" s="1933"/>
      <c r="B330" s="473" t="s">
        <v>1495</v>
      </c>
      <c r="C330" s="474" t="s">
        <v>1495</v>
      </c>
      <c r="P330" s="69"/>
    </row>
    <row r="331" spans="1:16" ht="16.5" customHeight="1">
      <c r="A331" s="1933"/>
      <c r="B331" s="473" t="s">
        <v>1496</v>
      </c>
      <c r="C331" s="474" t="s">
        <v>1496</v>
      </c>
      <c r="P331" s="69"/>
    </row>
    <row r="332" spans="1:16" ht="16.5" customHeight="1">
      <c r="A332" s="1933"/>
      <c r="B332" s="473" t="s">
        <v>1497</v>
      </c>
      <c r="C332" s="474" t="s">
        <v>1497</v>
      </c>
      <c r="P332" s="69"/>
    </row>
    <row r="333" spans="1:16" ht="16.5" customHeight="1">
      <c r="A333" s="1933"/>
      <c r="B333" s="473" t="s">
        <v>1498</v>
      </c>
      <c r="C333" s="474" t="s">
        <v>1498</v>
      </c>
      <c r="P333" s="69"/>
    </row>
    <row r="334" spans="1:16" ht="16.5" customHeight="1">
      <c r="A334" s="1933"/>
      <c r="B334" s="473" t="s">
        <v>1499</v>
      </c>
      <c r="C334" s="474" t="s">
        <v>1499</v>
      </c>
      <c r="P334" s="69"/>
    </row>
    <row r="335" spans="1:16" ht="16.5" customHeight="1">
      <c r="A335" s="1933"/>
      <c r="B335" s="473" t="s">
        <v>1500</v>
      </c>
      <c r="C335" s="474" t="s">
        <v>1500</v>
      </c>
      <c r="P335" s="69"/>
    </row>
    <row r="336" spans="1:16" ht="16.5" customHeight="1">
      <c r="A336" s="1933"/>
      <c r="B336" s="473" t="s">
        <v>1501</v>
      </c>
      <c r="C336" s="474" t="s">
        <v>1502</v>
      </c>
      <c r="P336" s="69"/>
    </row>
    <row r="337" spans="1:16" ht="16.5" customHeight="1">
      <c r="A337" s="1933"/>
      <c r="B337" s="473" t="s">
        <v>1503</v>
      </c>
      <c r="C337" s="474" t="s">
        <v>1504</v>
      </c>
      <c r="P337" s="69"/>
    </row>
    <row r="338" spans="1:16" ht="16.5" customHeight="1">
      <c r="A338" s="1933"/>
      <c r="B338" s="473" t="s">
        <v>1505</v>
      </c>
      <c r="C338" s="474" t="s">
        <v>1506</v>
      </c>
      <c r="P338" s="69"/>
    </row>
    <row r="339" spans="1:16" ht="16.5" customHeight="1">
      <c r="A339" s="1933"/>
      <c r="B339" s="473" t="s">
        <v>1507</v>
      </c>
      <c r="C339" s="474" t="s">
        <v>1508</v>
      </c>
      <c r="P339" s="69"/>
    </row>
    <row r="340" spans="1:16" ht="16.5" customHeight="1">
      <c r="A340" s="1933"/>
      <c r="B340" s="473" t="s">
        <v>1509</v>
      </c>
      <c r="C340" s="474" t="s">
        <v>1509</v>
      </c>
      <c r="P340" s="69"/>
    </row>
    <row r="341" spans="1:16" ht="16.5" customHeight="1">
      <c r="A341" s="1933"/>
      <c r="B341" s="473" t="s">
        <v>1510</v>
      </c>
      <c r="C341" s="474" t="s">
        <v>1511</v>
      </c>
    </row>
    <row r="342" spans="1:16" ht="16.5" customHeight="1">
      <c r="A342" s="1933"/>
      <c r="B342" s="473" t="s">
        <v>1512</v>
      </c>
      <c r="C342" s="474" t="s">
        <v>1513</v>
      </c>
    </row>
    <row r="343" spans="1:16" ht="16.5" customHeight="1">
      <c r="A343" s="1933"/>
      <c r="B343" s="473" t="s">
        <v>1514</v>
      </c>
      <c r="C343" s="474" t="s">
        <v>1514</v>
      </c>
    </row>
    <row r="344" spans="1:16" ht="16.5" customHeight="1">
      <c r="A344" s="1933"/>
      <c r="B344" s="473" t="s">
        <v>1515</v>
      </c>
      <c r="C344" s="474" t="s">
        <v>1516</v>
      </c>
    </row>
    <row r="345" spans="1:16" ht="16.5" customHeight="1">
      <c r="A345" s="1933"/>
      <c r="B345" s="473" t="s">
        <v>1517</v>
      </c>
      <c r="C345" s="474" t="s">
        <v>1517</v>
      </c>
    </row>
    <row r="346" spans="1:16" ht="16.5" customHeight="1">
      <c r="A346" s="1933"/>
      <c r="B346" s="473" t="s">
        <v>1518</v>
      </c>
      <c r="C346" s="474" t="s">
        <v>1518</v>
      </c>
    </row>
    <row r="347" spans="1:16" ht="16.5" customHeight="1">
      <c r="A347" s="1933"/>
      <c r="B347" s="473" t="s">
        <v>1519</v>
      </c>
      <c r="C347" s="474" t="s">
        <v>1519</v>
      </c>
    </row>
    <row r="348" spans="1:16" ht="16.5" customHeight="1">
      <c r="A348" s="1933"/>
      <c r="B348" s="473" t="s">
        <v>1520</v>
      </c>
      <c r="C348" s="474" t="s">
        <v>1520</v>
      </c>
    </row>
    <row r="349" spans="1:16" ht="16.5" customHeight="1">
      <c r="A349" s="1933"/>
      <c r="B349" s="473" t="s">
        <v>1521</v>
      </c>
      <c r="C349" s="474" t="s">
        <v>1521</v>
      </c>
    </row>
    <row r="350" spans="1:16" ht="16.5" customHeight="1">
      <c r="A350" s="1933"/>
      <c r="B350" s="473" t="s">
        <v>1522</v>
      </c>
      <c r="C350" s="474" t="s">
        <v>1523</v>
      </c>
    </row>
    <row r="351" spans="1:16" ht="16.5" customHeight="1">
      <c r="A351" s="1933"/>
      <c r="B351" s="473" t="s">
        <v>1524</v>
      </c>
      <c r="C351" s="474" t="s">
        <v>1524</v>
      </c>
    </row>
    <row r="352" spans="1:16" ht="16.5" customHeight="1">
      <c r="A352" s="1933"/>
      <c r="B352" s="473" t="s">
        <v>1525</v>
      </c>
      <c r="C352" s="474" t="s">
        <v>1525</v>
      </c>
    </row>
    <row r="353" spans="1:3" ht="16.5" customHeight="1">
      <c r="A353" s="1933"/>
      <c r="B353" s="473" t="s">
        <v>1526</v>
      </c>
      <c r="C353" s="474" t="s">
        <v>1526</v>
      </c>
    </row>
    <row r="354" spans="1:3" ht="16.5" customHeight="1">
      <c r="A354" s="1933"/>
      <c r="B354" s="473" t="s">
        <v>1527</v>
      </c>
      <c r="C354" s="474" t="s">
        <v>1528</v>
      </c>
    </row>
    <row r="355" spans="1:3" ht="16.5" customHeight="1">
      <c r="A355" s="1933"/>
      <c r="B355" s="473" t="s">
        <v>1529</v>
      </c>
      <c r="C355" s="474" t="s">
        <v>1530</v>
      </c>
    </row>
    <row r="356" spans="1:3" ht="16.5" customHeight="1">
      <c r="A356" s="1933"/>
      <c r="B356" s="473" t="s">
        <v>1531</v>
      </c>
      <c r="C356" s="474" t="s">
        <v>1531</v>
      </c>
    </row>
    <row r="357" spans="1:3" ht="16.5" customHeight="1">
      <c r="A357" s="1933"/>
      <c r="B357" s="473" t="s">
        <v>1532</v>
      </c>
      <c r="C357" s="474" t="s">
        <v>1532</v>
      </c>
    </row>
    <row r="358" spans="1:3" ht="16.5" customHeight="1">
      <c r="A358" s="1933"/>
      <c r="B358" s="473" t="s">
        <v>1533</v>
      </c>
      <c r="C358" s="474" t="s">
        <v>1533</v>
      </c>
    </row>
    <row r="359" spans="1:3" ht="16.5" customHeight="1">
      <c r="A359" s="1933"/>
      <c r="B359" s="473" t="s">
        <v>1534</v>
      </c>
      <c r="C359" s="474" t="s">
        <v>1534</v>
      </c>
    </row>
    <row r="360" spans="1:3" ht="16.5" customHeight="1">
      <c r="A360" s="1933"/>
      <c r="B360" s="473" t="s">
        <v>1535</v>
      </c>
      <c r="C360" s="474" t="s">
        <v>1535</v>
      </c>
    </row>
    <row r="361" spans="1:3" ht="16.5" customHeight="1">
      <c r="A361" s="1933"/>
      <c r="B361" s="473" t="s">
        <v>1536</v>
      </c>
      <c r="C361" s="474" t="s">
        <v>1536</v>
      </c>
    </row>
    <row r="362" spans="1:3" ht="16.5" customHeight="1">
      <c r="A362" s="1933"/>
      <c r="B362" s="473" t="s">
        <v>1537</v>
      </c>
      <c r="C362" s="474" t="s">
        <v>1538</v>
      </c>
    </row>
    <row r="363" spans="1:3" ht="16.5" customHeight="1">
      <c r="A363" s="1933"/>
      <c r="B363" s="473" t="s">
        <v>1539</v>
      </c>
      <c r="C363" s="474" t="s">
        <v>1539</v>
      </c>
    </row>
    <row r="364" spans="1:3" ht="16.5" customHeight="1">
      <c r="A364" s="1933"/>
      <c r="B364" s="473" t="s">
        <v>1540</v>
      </c>
      <c r="C364" s="474" t="s">
        <v>1541</v>
      </c>
    </row>
    <row r="365" spans="1:3" ht="16.5" customHeight="1">
      <c r="A365" s="1933"/>
      <c r="B365" s="473" t="s">
        <v>1542</v>
      </c>
      <c r="C365" s="474" t="s">
        <v>1543</v>
      </c>
    </row>
    <row r="366" spans="1:3" ht="16.5" customHeight="1">
      <c r="A366" s="1933"/>
      <c r="B366" s="473" t="s">
        <v>1544</v>
      </c>
      <c r="C366" s="474" t="s">
        <v>1545</v>
      </c>
    </row>
    <row r="367" spans="1:3" ht="16.5" customHeight="1">
      <c r="A367" s="1933"/>
      <c r="B367" s="473" t="s">
        <v>1546</v>
      </c>
      <c r="C367" s="474" t="s">
        <v>1547</v>
      </c>
    </row>
    <row r="368" spans="1:3" ht="16.5" customHeight="1">
      <c r="A368" s="1933"/>
      <c r="B368" s="473" t="s">
        <v>1548</v>
      </c>
      <c r="C368" s="474" t="s">
        <v>1548</v>
      </c>
    </row>
    <row r="369" spans="1:3" ht="16.5" customHeight="1">
      <c r="A369" s="1933"/>
      <c r="B369" s="473" t="s">
        <v>1549</v>
      </c>
      <c r="C369" s="474" t="s">
        <v>1550</v>
      </c>
    </row>
    <row r="370" spans="1:3" ht="16.5" customHeight="1">
      <c r="A370" s="1933"/>
      <c r="B370" s="473" t="s">
        <v>1551</v>
      </c>
      <c r="C370" s="474" t="s">
        <v>1551</v>
      </c>
    </row>
    <row r="371" spans="1:3" ht="16.5" customHeight="1">
      <c r="A371" s="1933"/>
      <c r="B371" s="473" t="s">
        <v>1552</v>
      </c>
      <c r="C371" s="474" t="s">
        <v>1553</v>
      </c>
    </row>
    <row r="372" spans="1:3" ht="16.5" customHeight="1">
      <c r="A372" s="1933"/>
      <c r="B372" s="473" t="s">
        <v>1554</v>
      </c>
      <c r="C372" s="474" t="s">
        <v>1555</v>
      </c>
    </row>
    <row r="373" spans="1:3" ht="16.5" customHeight="1">
      <c r="A373" s="1933"/>
      <c r="B373" s="473" t="s">
        <v>1556</v>
      </c>
      <c r="C373" s="474" t="s">
        <v>1556</v>
      </c>
    </row>
    <row r="374" spans="1:3" ht="16.5" customHeight="1">
      <c r="A374" s="1933"/>
      <c r="B374" s="473" t="s">
        <v>1557</v>
      </c>
      <c r="C374" s="474" t="s">
        <v>1558</v>
      </c>
    </row>
    <row r="375" spans="1:3" ht="16.5" customHeight="1">
      <c r="A375" s="1933"/>
      <c r="B375" s="473" t="s">
        <v>1559</v>
      </c>
      <c r="C375" s="474" t="s">
        <v>1559</v>
      </c>
    </row>
    <row r="376" spans="1:3" ht="16.5" customHeight="1">
      <c r="A376" s="1933"/>
      <c r="B376" s="473" t="s">
        <v>1560</v>
      </c>
      <c r="C376" s="474" t="s">
        <v>1560</v>
      </c>
    </row>
    <row r="377" spans="1:3" ht="16.5" customHeight="1">
      <c r="A377" s="1933"/>
      <c r="B377" s="473" t="s">
        <v>1561</v>
      </c>
      <c r="C377" s="474" t="s">
        <v>1561</v>
      </c>
    </row>
    <row r="378" spans="1:3" ht="16.5" customHeight="1">
      <c r="A378" s="1933"/>
      <c r="B378" s="473" t="s">
        <v>1562</v>
      </c>
      <c r="C378" s="474" t="s">
        <v>1563</v>
      </c>
    </row>
    <row r="379" spans="1:3" ht="16.5" customHeight="1">
      <c r="A379" s="1933"/>
      <c r="B379" s="473" t="s">
        <v>1564</v>
      </c>
      <c r="C379" s="474" t="s">
        <v>1565</v>
      </c>
    </row>
    <row r="380" spans="1:3" ht="16.5" customHeight="1">
      <c r="A380" s="1933"/>
      <c r="B380" s="473" t="s">
        <v>1566</v>
      </c>
      <c r="C380" s="474" t="s">
        <v>1567</v>
      </c>
    </row>
    <row r="381" spans="1:3" ht="16.5" customHeight="1">
      <c r="A381" s="1933"/>
      <c r="B381" s="473" t="s">
        <v>1568</v>
      </c>
      <c r="C381" s="474" t="s">
        <v>1569</v>
      </c>
    </row>
    <row r="382" spans="1:3" ht="16.5" customHeight="1">
      <c r="A382" s="1933"/>
      <c r="B382" s="473" t="s">
        <v>1570</v>
      </c>
      <c r="C382" s="474" t="s">
        <v>1571</v>
      </c>
    </row>
    <row r="383" spans="1:3" ht="16.5" customHeight="1">
      <c r="A383" s="1933"/>
      <c r="B383" s="473" t="s">
        <v>1572</v>
      </c>
      <c r="C383" s="474" t="s">
        <v>1572</v>
      </c>
    </row>
    <row r="384" spans="1:3" ht="16.5" customHeight="1">
      <c r="A384" s="1933"/>
      <c r="B384" s="473" t="s">
        <v>1573</v>
      </c>
      <c r="C384" s="474" t="s">
        <v>1573</v>
      </c>
    </row>
    <row r="385" spans="1:3" ht="16.5" customHeight="1">
      <c r="A385" s="1933"/>
      <c r="B385" s="473" t="s">
        <v>1574</v>
      </c>
      <c r="C385" s="474" t="s">
        <v>1575</v>
      </c>
    </row>
    <row r="386" spans="1:3" ht="16.5" customHeight="1">
      <c r="A386" s="1933"/>
      <c r="B386" s="473" t="s">
        <v>1576</v>
      </c>
      <c r="C386" s="474" t="s">
        <v>1577</v>
      </c>
    </row>
    <row r="387" spans="1:3" ht="16.5" customHeight="1">
      <c r="A387" s="1933"/>
      <c r="B387" s="473" t="s">
        <v>1578</v>
      </c>
      <c r="C387" s="474" t="s">
        <v>1578</v>
      </c>
    </row>
    <row r="388" spans="1:3" ht="16.5" customHeight="1">
      <c r="A388" s="1933"/>
      <c r="B388" s="473" t="s">
        <v>1579</v>
      </c>
      <c r="C388" s="474" t="s">
        <v>1579</v>
      </c>
    </row>
    <row r="389" spans="1:3" ht="16.5" customHeight="1">
      <c r="A389" s="1933"/>
      <c r="B389" s="473" t="s">
        <v>1580</v>
      </c>
      <c r="C389" s="474" t="s">
        <v>1581</v>
      </c>
    </row>
    <row r="390" spans="1:3" ht="16.5" customHeight="1">
      <c r="A390" s="1933"/>
      <c r="B390" s="473" t="s">
        <v>1582</v>
      </c>
      <c r="C390" s="474" t="s">
        <v>1435</v>
      </c>
    </row>
    <row r="391" spans="1:3" ht="16.5" customHeight="1">
      <c r="A391" s="1933"/>
      <c r="B391" s="473" t="s">
        <v>1583</v>
      </c>
      <c r="C391" s="474" t="s">
        <v>1584</v>
      </c>
    </row>
    <row r="392" spans="1:3" ht="16.5" customHeight="1">
      <c r="A392" s="1934"/>
      <c r="B392" s="475" t="s">
        <v>1585</v>
      </c>
      <c r="C392" s="476" t="s">
        <v>1586</v>
      </c>
    </row>
    <row r="393" spans="1:3" ht="16.5" customHeight="1">
      <c r="A393" s="1935" t="s">
        <v>448</v>
      </c>
      <c r="B393" s="127" t="s">
        <v>1587</v>
      </c>
      <c r="C393" s="477" t="s">
        <v>1441</v>
      </c>
    </row>
    <row r="394" spans="1:3" ht="16.5" customHeight="1">
      <c r="A394" s="1936"/>
      <c r="B394" s="478" t="s">
        <v>1588</v>
      </c>
      <c r="C394" s="454" t="s">
        <v>1465</v>
      </c>
    </row>
    <row r="395" spans="1:3" ht="16.5" customHeight="1">
      <c r="A395" s="1936"/>
      <c r="B395" s="479" t="s">
        <v>1589</v>
      </c>
      <c r="C395" s="458" t="s">
        <v>1445</v>
      </c>
    </row>
    <row r="396" spans="1:3" ht="16.5" customHeight="1">
      <c r="A396" s="1936"/>
      <c r="B396" s="479" t="s">
        <v>1874</v>
      </c>
      <c r="C396" s="458" t="s">
        <v>1467</v>
      </c>
    </row>
    <row r="397" spans="1:3" ht="16.5" customHeight="1">
      <c r="A397" s="1936"/>
      <c r="B397" s="479" t="s">
        <v>1590</v>
      </c>
      <c r="C397" s="458" t="s">
        <v>1453</v>
      </c>
    </row>
    <row r="398" spans="1:3" ht="16.5" customHeight="1">
      <c r="A398" s="1936"/>
      <c r="B398" s="479" t="s">
        <v>1875</v>
      </c>
      <c r="C398" s="458" t="s">
        <v>1473</v>
      </c>
    </row>
    <row r="399" spans="1:3" ht="16.5" customHeight="1">
      <c r="A399" s="1936"/>
      <c r="B399" s="479" t="s">
        <v>1591</v>
      </c>
      <c r="C399" s="458" t="s">
        <v>1428</v>
      </c>
    </row>
    <row r="400" spans="1:3" ht="16.5" customHeight="1">
      <c r="A400" s="1936"/>
      <c r="B400" s="479" t="s">
        <v>1592</v>
      </c>
      <c r="C400" s="458" t="s">
        <v>1451</v>
      </c>
    </row>
    <row r="401" spans="1:3" ht="16.5" customHeight="1">
      <c r="A401" s="1936"/>
      <c r="B401" s="479" t="s">
        <v>1593</v>
      </c>
      <c r="C401" s="458" t="s">
        <v>1483</v>
      </c>
    </row>
    <row r="402" spans="1:3" ht="16.5" customHeight="1">
      <c r="A402" s="1936"/>
      <c r="B402" s="479" t="s">
        <v>1594</v>
      </c>
      <c r="C402" s="458" t="s">
        <v>1449</v>
      </c>
    </row>
    <row r="403" spans="1:3" ht="16.5" customHeight="1">
      <c r="A403" s="1936"/>
      <c r="B403" s="479" t="s">
        <v>1595</v>
      </c>
      <c r="C403" s="462" t="s">
        <v>1437</v>
      </c>
    </row>
    <row r="404" spans="1:3" ht="16.5" customHeight="1">
      <c r="A404" s="1936"/>
      <c r="B404" s="479" t="s">
        <v>1596</v>
      </c>
      <c r="C404" s="458" t="s">
        <v>1426</v>
      </c>
    </row>
    <row r="405" spans="1:3" ht="16.5" customHeight="1">
      <c r="A405" s="1936"/>
      <c r="B405" s="479" t="s">
        <v>1597</v>
      </c>
      <c r="C405" s="458" t="s">
        <v>1459</v>
      </c>
    </row>
    <row r="406" spans="1:3" ht="16.5" customHeight="1">
      <c r="A406" s="1936"/>
      <c r="B406" s="479" t="s">
        <v>1598</v>
      </c>
      <c r="C406" s="458" t="s">
        <v>1461</v>
      </c>
    </row>
    <row r="407" spans="1:3" ht="16.5" customHeight="1">
      <c r="A407" s="1936"/>
      <c r="B407" s="479" t="s">
        <v>1599</v>
      </c>
      <c r="C407" s="458" t="s">
        <v>1475</v>
      </c>
    </row>
    <row r="408" spans="1:3" ht="16.5" customHeight="1">
      <c r="A408" s="1936"/>
      <c r="B408" s="479" t="s">
        <v>1600</v>
      </c>
      <c r="C408" s="458" t="s">
        <v>1422</v>
      </c>
    </row>
    <row r="409" spans="1:3" ht="16.5" customHeight="1">
      <c r="A409" s="1936"/>
      <c r="B409" s="479" t="s">
        <v>1601</v>
      </c>
      <c r="C409" s="458" t="s">
        <v>1432</v>
      </c>
    </row>
    <row r="410" spans="1:3" ht="16.5" customHeight="1">
      <c r="A410" s="1936"/>
      <c r="B410" s="479" t="s">
        <v>1602</v>
      </c>
      <c r="C410" s="458" t="s">
        <v>1424</v>
      </c>
    </row>
    <row r="411" spans="1:3" ht="16.5" customHeight="1">
      <c r="A411" s="1936"/>
      <c r="B411" s="479" t="s">
        <v>1603</v>
      </c>
      <c r="C411" s="458" t="s">
        <v>1439</v>
      </c>
    </row>
    <row r="412" spans="1:3" ht="16.5" customHeight="1">
      <c r="A412" s="1936"/>
      <c r="B412" s="479" t="s">
        <v>1604</v>
      </c>
      <c r="C412" s="458" t="s">
        <v>1481</v>
      </c>
    </row>
    <row r="413" spans="1:3" ht="16.5" customHeight="1">
      <c r="A413" s="1936"/>
      <c r="B413" s="479" t="s">
        <v>1605</v>
      </c>
      <c r="C413" s="458" t="s">
        <v>1469</v>
      </c>
    </row>
    <row r="414" spans="1:3" ht="16.5" customHeight="1">
      <c r="A414" s="1936"/>
      <c r="B414" s="479" t="s">
        <v>1606</v>
      </c>
      <c r="C414" s="458" t="s">
        <v>1447</v>
      </c>
    </row>
    <row r="415" spans="1:3" ht="16.5" customHeight="1">
      <c r="A415" s="1936"/>
      <c r="B415" s="479" t="s">
        <v>1454</v>
      </c>
      <c r="C415" s="458" t="s">
        <v>1455</v>
      </c>
    </row>
    <row r="416" spans="1:3" ht="16.5" customHeight="1">
      <c r="A416" s="1936"/>
      <c r="B416" s="479" t="s">
        <v>1607</v>
      </c>
      <c r="C416" s="458" t="s">
        <v>1479</v>
      </c>
    </row>
    <row r="417" spans="1:3" ht="16.5" customHeight="1">
      <c r="A417" s="1936"/>
      <c r="B417" s="479" t="s">
        <v>1876</v>
      </c>
      <c r="C417" s="458" t="s">
        <v>1573</v>
      </c>
    </row>
    <row r="418" spans="1:3" ht="16.5" customHeight="1">
      <c r="A418" s="1936"/>
      <c r="B418" s="479" t="s">
        <v>1608</v>
      </c>
      <c r="C418" s="458" t="s">
        <v>1485</v>
      </c>
    </row>
    <row r="419" spans="1:3" ht="16.5" customHeight="1">
      <c r="A419" s="1936"/>
      <c r="B419" s="479" t="s">
        <v>1609</v>
      </c>
      <c r="C419" s="462" t="s">
        <v>1430</v>
      </c>
    </row>
    <row r="420" spans="1:3" ht="16.5" customHeight="1">
      <c r="A420" s="1936"/>
      <c r="B420" s="479" t="s">
        <v>1610</v>
      </c>
      <c r="C420" s="458" t="s">
        <v>1435</v>
      </c>
    </row>
    <row r="421" spans="1:3" ht="16.5" customHeight="1">
      <c r="A421" s="1936"/>
      <c r="B421" s="479" t="s">
        <v>1872</v>
      </c>
      <c r="C421" s="458" t="s">
        <v>1873</v>
      </c>
    </row>
    <row r="422" spans="1:3" ht="16.5" customHeight="1">
      <c r="A422" s="1936"/>
      <c r="B422" s="479" t="s">
        <v>1870</v>
      </c>
      <c r="C422" s="458" t="s">
        <v>1871</v>
      </c>
    </row>
    <row r="423" spans="1:3" ht="16.5" customHeight="1">
      <c r="A423" s="1936"/>
      <c r="B423" s="479" t="s">
        <v>1611</v>
      </c>
      <c r="C423" s="458" t="s">
        <v>1471</v>
      </c>
    </row>
    <row r="424" spans="1:3" ht="16.5" customHeight="1">
      <c r="A424" s="1936"/>
      <c r="B424" s="479" t="s">
        <v>1612</v>
      </c>
      <c r="C424" s="458" t="s">
        <v>1457</v>
      </c>
    </row>
    <row r="425" spans="1:3" ht="16.5" customHeight="1">
      <c r="A425" s="1936"/>
      <c r="B425" s="479" t="s">
        <v>1613</v>
      </c>
      <c r="C425" s="458" t="s">
        <v>1266</v>
      </c>
    </row>
    <row r="426" spans="1:3" ht="16.5" customHeight="1">
      <c r="A426" s="1937"/>
      <c r="B426" s="464" t="s">
        <v>1614</v>
      </c>
      <c r="C426" s="470" t="s">
        <v>1477</v>
      </c>
    </row>
    <row r="427" spans="1:3" ht="16.5" customHeight="1">
      <c r="A427" s="1938" t="s">
        <v>454</v>
      </c>
      <c r="B427" s="463" t="s">
        <v>1424</v>
      </c>
      <c r="C427" s="477" t="s">
        <v>1424</v>
      </c>
    </row>
    <row r="428" spans="1:3" ht="16.5" customHeight="1">
      <c r="A428" s="1939"/>
      <c r="B428" s="479" t="s">
        <v>1615</v>
      </c>
      <c r="C428" s="458" t="s">
        <v>1432</v>
      </c>
    </row>
    <row r="429" spans="1:3" ht="16.5" customHeight="1">
      <c r="A429" s="1939"/>
      <c r="B429" s="479" t="s">
        <v>1616</v>
      </c>
      <c r="C429" s="458" t="s">
        <v>1459</v>
      </c>
    </row>
    <row r="430" spans="1:3" ht="16.5" customHeight="1">
      <c r="A430" s="1939"/>
      <c r="B430" s="479" t="s">
        <v>1617</v>
      </c>
      <c r="C430" s="458" t="s">
        <v>1426</v>
      </c>
    </row>
    <row r="431" spans="1:3" ht="16.5" customHeight="1">
      <c r="A431" s="1939"/>
      <c r="B431" s="479" t="s">
        <v>1618</v>
      </c>
      <c r="C431" s="458" t="s">
        <v>1473</v>
      </c>
    </row>
    <row r="432" spans="1:3" ht="16.5" customHeight="1">
      <c r="A432" s="1939"/>
      <c r="B432" s="479" t="s">
        <v>1619</v>
      </c>
      <c r="C432" s="458" t="s">
        <v>1449</v>
      </c>
    </row>
    <row r="433" spans="1:3" ht="16.5" customHeight="1">
      <c r="A433" s="1939"/>
      <c r="B433" s="479" t="s">
        <v>1620</v>
      </c>
      <c r="C433" s="458" t="s">
        <v>1447</v>
      </c>
    </row>
    <row r="434" spans="1:3" ht="16.5" customHeight="1">
      <c r="A434" s="1939"/>
      <c r="B434" s="479" t="s">
        <v>1621</v>
      </c>
      <c r="C434" s="458" t="s">
        <v>1455</v>
      </c>
    </row>
    <row r="435" spans="1:3" ht="16.5" customHeight="1">
      <c r="A435" s="1939"/>
      <c r="B435" s="479" t="s">
        <v>1622</v>
      </c>
      <c r="C435" s="458" t="s">
        <v>1441</v>
      </c>
    </row>
    <row r="436" spans="1:3" ht="16.5" customHeight="1">
      <c r="A436" s="1939"/>
      <c r="B436" s="479" t="s">
        <v>1623</v>
      </c>
      <c r="C436" s="458" t="s">
        <v>1439</v>
      </c>
    </row>
    <row r="437" spans="1:3" ht="16.5" customHeight="1">
      <c r="A437" s="1939"/>
      <c r="B437" s="479" t="s">
        <v>1624</v>
      </c>
      <c r="C437" s="458" t="s">
        <v>1471</v>
      </c>
    </row>
    <row r="438" spans="1:3" ht="16.5" customHeight="1">
      <c r="A438" s="1939"/>
      <c r="B438" s="479" t="s">
        <v>1625</v>
      </c>
      <c r="C438" s="458" t="s">
        <v>1485</v>
      </c>
    </row>
    <row r="439" spans="1:3" ht="16.5" customHeight="1">
      <c r="A439" s="1939"/>
      <c r="B439" s="479" t="s">
        <v>1626</v>
      </c>
      <c r="C439" s="458" t="s">
        <v>1428</v>
      </c>
    </row>
    <row r="440" spans="1:3" ht="16.5" customHeight="1">
      <c r="A440" s="1939"/>
      <c r="B440" s="479" t="s">
        <v>1627</v>
      </c>
      <c r="C440" s="458" t="s">
        <v>1475</v>
      </c>
    </row>
    <row r="441" spans="1:3" ht="16.5" customHeight="1">
      <c r="A441" s="1939"/>
      <c r="B441" s="479" t="s">
        <v>1628</v>
      </c>
      <c r="C441" s="458" t="s">
        <v>1457</v>
      </c>
    </row>
    <row r="442" spans="1:3" ht="16.5" customHeight="1">
      <c r="A442" s="1939"/>
      <c r="B442" s="479" t="s">
        <v>1629</v>
      </c>
      <c r="C442" s="458" t="s">
        <v>1453</v>
      </c>
    </row>
    <row r="443" spans="1:3" ht="16.5" customHeight="1">
      <c r="A443" s="1939"/>
      <c r="B443" s="479" t="s">
        <v>1630</v>
      </c>
      <c r="C443" s="458" t="s">
        <v>1266</v>
      </c>
    </row>
    <row r="444" spans="1:3" ht="16.5" customHeight="1">
      <c r="A444" s="1939"/>
      <c r="B444" s="479" t="s">
        <v>1631</v>
      </c>
      <c r="C444" s="458" t="s">
        <v>1461</v>
      </c>
    </row>
    <row r="445" spans="1:3" ht="16.5" customHeight="1">
      <c r="A445" s="1939"/>
      <c r="B445" s="479" t="s">
        <v>1632</v>
      </c>
      <c r="C445" s="458" t="s">
        <v>1479</v>
      </c>
    </row>
    <row r="446" spans="1:3" ht="16.5" customHeight="1">
      <c r="A446" s="1939"/>
      <c r="B446" s="479" t="s">
        <v>1633</v>
      </c>
      <c r="C446" s="458" t="s">
        <v>1477</v>
      </c>
    </row>
    <row r="447" spans="1:3" ht="16.5" customHeight="1">
      <c r="A447" s="1939"/>
      <c r="B447" s="479" t="s">
        <v>1634</v>
      </c>
      <c r="C447" s="458" t="s">
        <v>1422</v>
      </c>
    </row>
    <row r="448" spans="1:3" ht="16.5" customHeight="1">
      <c r="A448" s="1939"/>
      <c r="B448" s="479" t="s">
        <v>1635</v>
      </c>
      <c r="C448" s="458" t="s">
        <v>1451</v>
      </c>
    </row>
    <row r="449" spans="1:3" ht="16.5" customHeight="1">
      <c r="A449" s="1939"/>
      <c r="B449" s="479" t="s">
        <v>1636</v>
      </c>
      <c r="C449" s="458" t="s">
        <v>1467</v>
      </c>
    </row>
    <row r="450" spans="1:3" ht="16.5" customHeight="1">
      <c r="A450" s="1939"/>
      <c r="B450" s="479" t="s">
        <v>1637</v>
      </c>
      <c r="C450" s="458" t="s">
        <v>1445</v>
      </c>
    </row>
    <row r="451" spans="1:3" ht="16.5" customHeight="1">
      <c r="A451" s="1939"/>
      <c r="B451" s="479" t="s">
        <v>1638</v>
      </c>
      <c r="C451" s="458" t="s">
        <v>1483</v>
      </c>
    </row>
    <row r="452" spans="1:3" ht="16.5" customHeight="1">
      <c r="A452" s="1939"/>
      <c r="B452" s="479" t="s">
        <v>1639</v>
      </c>
      <c r="C452" s="458" t="s">
        <v>1465</v>
      </c>
    </row>
    <row r="453" spans="1:3" ht="16.5" customHeight="1">
      <c r="A453" s="1939"/>
      <c r="B453" s="479" t="s">
        <v>1640</v>
      </c>
      <c r="C453" s="458" t="s">
        <v>1435</v>
      </c>
    </row>
    <row r="454" spans="1:3" ht="16.5" customHeight="1">
      <c r="A454" s="1939"/>
      <c r="B454" s="479" t="s">
        <v>1641</v>
      </c>
      <c r="C454" s="458" t="s">
        <v>1481</v>
      </c>
    </row>
    <row r="455" spans="1:3" ht="16.5" customHeight="1">
      <c r="A455" s="1939"/>
      <c r="B455" s="479" t="s">
        <v>1642</v>
      </c>
      <c r="C455" s="458" t="s">
        <v>1469</v>
      </c>
    </row>
    <row r="456" spans="1:3" ht="16.5" customHeight="1">
      <c r="A456" s="1939"/>
      <c r="B456" s="479" t="s">
        <v>1643</v>
      </c>
      <c r="C456" s="462" t="s">
        <v>1430</v>
      </c>
    </row>
    <row r="457" spans="1:3" ht="16.5" customHeight="1">
      <c r="A457" s="1940"/>
      <c r="B457" s="464" t="s">
        <v>1644</v>
      </c>
      <c r="C457" s="480" t="s">
        <v>1437</v>
      </c>
    </row>
    <row r="458" spans="1:3" ht="16.5" customHeight="1">
      <c r="A458" s="1941" t="s">
        <v>461</v>
      </c>
      <c r="B458" s="481" t="s">
        <v>1424</v>
      </c>
      <c r="C458" s="477" t="s">
        <v>1424</v>
      </c>
    </row>
    <row r="459" spans="1:3" ht="16.5" customHeight="1">
      <c r="A459" s="1941"/>
      <c r="B459" s="482" t="s">
        <v>1432</v>
      </c>
      <c r="C459" s="458" t="s">
        <v>1432</v>
      </c>
    </row>
    <row r="460" spans="1:3" ht="16.5" customHeight="1">
      <c r="A460" s="1941"/>
      <c r="B460" s="482" t="s">
        <v>1459</v>
      </c>
      <c r="C460" s="458" t="s">
        <v>1459</v>
      </c>
    </row>
    <row r="461" spans="1:3" ht="16.5" customHeight="1">
      <c r="A461" s="1941"/>
      <c r="B461" s="482" t="s">
        <v>1426</v>
      </c>
      <c r="C461" s="458" t="s">
        <v>1426</v>
      </c>
    </row>
    <row r="462" spans="1:3" ht="16.5" customHeight="1">
      <c r="A462" s="1941"/>
      <c r="B462" s="482" t="s">
        <v>1473</v>
      </c>
      <c r="C462" s="458" t="s">
        <v>1473</v>
      </c>
    </row>
    <row r="463" spans="1:3" ht="16.5" customHeight="1">
      <c r="A463" s="1941"/>
      <c r="B463" s="482" t="s">
        <v>1449</v>
      </c>
      <c r="C463" s="458" t="s">
        <v>1449</v>
      </c>
    </row>
    <row r="464" spans="1:3" ht="16.5" customHeight="1">
      <c r="A464" s="1941"/>
      <c r="B464" s="482" t="s">
        <v>1447</v>
      </c>
      <c r="C464" s="458" t="s">
        <v>1447</v>
      </c>
    </row>
    <row r="465" spans="1:3" ht="16.5" customHeight="1">
      <c r="A465" s="1941"/>
      <c r="B465" s="482" t="s">
        <v>1455</v>
      </c>
      <c r="C465" s="458" t="s">
        <v>1455</v>
      </c>
    </row>
    <row r="466" spans="1:3" ht="16.5" customHeight="1">
      <c r="A466" s="1941"/>
      <c r="B466" s="482" t="s">
        <v>1441</v>
      </c>
      <c r="C466" s="458" t="s">
        <v>1441</v>
      </c>
    </row>
    <row r="467" spans="1:3" ht="16.5" customHeight="1">
      <c r="A467" s="1941"/>
      <c r="B467" s="482" t="s">
        <v>1439</v>
      </c>
      <c r="C467" s="458" t="s">
        <v>1439</v>
      </c>
    </row>
    <row r="468" spans="1:3" ht="16.5" customHeight="1">
      <c r="A468" s="1941"/>
      <c r="B468" s="482" t="s">
        <v>1471</v>
      </c>
      <c r="C468" s="458" t="s">
        <v>1471</v>
      </c>
    </row>
    <row r="469" spans="1:3" ht="16.5" customHeight="1">
      <c r="A469" s="1941"/>
      <c r="B469" s="482" t="s">
        <v>1485</v>
      </c>
      <c r="C469" s="458" t="s">
        <v>1485</v>
      </c>
    </row>
    <row r="470" spans="1:3" ht="16.5" customHeight="1">
      <c r="A470" s="1941"/>
      <c r="B470" s="482" t="s">
        <v>1428</v>
      </c>
      <c r="C470" s="458" t="s">
        <v>1428</v>
      </c>
    </row>
    <row r="471" spans="1:3" ht="16.5" customHeight="1">
      <c r="A471" s="1941"/>
      <c r="B471" s="482" t="s">
        <v>1475</v>
      </c>
      <c r="C471" s="458" t="s">
        <v>1475</v>
      </c>
    </row>
    <row r="472" spans="1:3" ht="16.5" customHeight="1">
      <c r="A472" s="1941"/>
      <c r="B472" s="482" t="s">
        <v>1457</v>
      </c>
      <c r="C472" s="458" t="s">
        <v>1457</v>
      </c>
    </row>
    <row r="473" spans="1:3" ht="16.5" customHeight="1">
      <c r="A473" s="1941"/>
      <c r="B473" s="482" t="s">
        <v>1453</v>
      </c>
      <c r="C473" s="458" t="s">
        <v>1453</v>
      </c>
    </row>
    <row r="474" spans="1:3" ht="16.5" customHeight="1">
      <c r="A474" s="1941"/>
      <c r="B474" s="482" t="s">
        <v>1266</v>
      </c>
      <c r="C474" s="458" t="s">
        <v>1266</v>
      </c>
    </row>
    <row r="475" spans="1:3" ht="16.5" customHeight="1">
      <c r="A475" s="1941"/>
      <c r="B475" s="482" t="s">
        <v>1461</v>
      </c>
      <c r="C475" s="458" t="s">
        <v>1461</v>
      </c>
    </row>
    <row r="476" spans="1:3" ht="16.5" customHeight="1">
      <c r="A476" s="1941"/>
      <c r="B476" s="482" t="s">
        <v>1479</v>
      </c>
      <c r="C476" s="458" t="s">
        <v>1479</v>
      </c>
    </row>
    <row r="477" spans="1:3" ht="16.5" customHeight="1">
      <c r="A477" s="1941"/>
      <c r="B477" s="482" t="s">
        <v>1477</v>
      </c>
      <c r="C477" s="458" t="s">
        <v>1477</v>
      </c>
    </row>
    <row r="478" spans="1:3" ht="16.5" customHeight="1">
      <c r="A478" s="1941"/>
      <c r="B478" s="482" t="s">
        <v>1422</v>
      </c>
      <c r="C478" s="458" t="s">
        <v>1422</v>
      </c>
    </row>
    <row r="479" spans="1:3" ht="16.5" customHeight="1">
      <c r="A479" s="1941"/>
      <c r="B479" s="482" t="s">
        <v>1451</v>
      </c>
      <c r="C479" s="458" t="s">
        <v>1451</v>
      </c>
    </row>
    <row r="480" spans="1:3" ht="16.5" customHeight="1">
      <c r="A480" s="1941"/>
      <c r="B480" s="482" t="s">
        <v>1467</v>
      </c>
      <c r="C480" s="458" t="s">
        <v>1467</v>
      </c>
    </row>
    <row r="481" spans="1:3" ht="16.5" customHeight="1">
      <c r="A481" s="1941"/>
      <c r="B481" s="482" t="s">
        <v>1445</v>
      </c>
      <c r="C481" s="458" t="s">
        <v>1445</v>
      </c>
    </row>
    <row r="482" spans="1:3" ht="16.5" customHeight="1">
      <c r="A482" s="1941"/>
      <c r="B482" s="482" t="s">
        <v>1483</v>
      </c>
      <c r="C482" s="458" t="s">
        <v>1483</v>
      </c>
    </row>
    <row r="483" spans="1:3" ht="16.5" customHeight="1">
      <c r="A483" s="1941"/>
      <c r="B483" s="482" t="s">
        <v>1465</v>
      </c>
      <c r="C483" s="458" t="s">
        <v>1465</v>
      </c>
    </row>
    <row r="484" spans="1:3" ht="16.5" customHeight="1">
      <c r="A484" s="1941"/>
      <c r="B484" s="482" t="s">
        <v>1435</v>
      </c>
      <c r="C484" s="458" t="s">
        <v>1435</v>
      </c>
    </row>
    <row r="485" spans="1:3" ht="16.5" customHeight="1">
      <c r="A485" s="1941"/>
      <c r="B485" s="482" t="s">
        <v>1481</v>
      </c>
      <c r="C485" s="458" t="s">
        <v>1481</v>
      </c>
    </row>
    <row r="486" spans="1:3" ht="16.5" customHeight="1">
      <c r="A486" s="1941"/>
      <c r="B486" s="482" t="s">
        <v>1469</v>
      </c>
      <c r="C486" s="458" t="s">
        <v>1469</v>
      </c>
    </row>
    <row r="487" spans="1:3" ht="16.5" customHeight="1">
      <c r="A487" s="1941"/>
      <c r="B487" s="483" t="s">
        <v>1430</v>
      </c>
      <c r="C487" s="462" t="s">
        <v>1430</v>
      </c>
    </row>
    <row r="488" spans="1:3" ht="16.5" customHeight="1">
      <c r="A488" s="1942"/>
      <c r="B488" s="484" t="s">
        <v>1437</v>
      </c>
      <c r="C488" s="485" t="s">
        <v>1437</v>
      </c>
    </row>
    <row r="491" spans="1:3" ht="16.5" customHeight="1">
      <c r="A491" s="1816" t="s">
        <v>1645</v>
      </c>
      <c r="B491" s="1817"/>
      <c r="C491" s="1818"/>
    </row>
    <row r="492" spans="1:3" ht="16.5" customHeight="1">
      <c r="A492" s="1943" t="s">
        <v>469</v>
      </c>
      <c r="B492" s="486" t="s">
        <v>1464</v>
      </c>
      <c r="C492" s="487" t="s">
        <v>1465</v>
      </c>
    </row>
    <row r="493" spans="1:3" ht="16.5" customHeight="1">
      <c r="A493" s="1944"/>
      <c r="B493" s="409" t="s">
        <v>1646</v>
      </c>
      <c r="C493" s="488" t="s">
        <v>1647</v>
      </c>
    </row>
    <row r="494" spans="1:3" ht="16.5" customHeight="1">
      <c r="A494" s="1944"/>
      <c r="B494" s="409" t="s">
        <v>1337</v>
      </c>
      <c r="C494" s="488" t="s">
        <v>1648</v>
      </c>
    </row>
    <row r="495" spans="1:3" ht="16.5" customHeight="1">
      <c r="A495" s="1944"/>
      <c r="B495" s="409" t="s">
        <v>1334</v>
      </c>
      <c r="C495" s="488" t="s">
        <v>1335</v>
      </c>
    </row>
    <row r="496" spans="1:3" ht="16.5" customHeight="1">
      <c r="A496" s="1944"/>
      <c r="B496" s="409" t="s">
        <v>1649</v>
      </c>
      <c r="C496" s="488" t="s">
        <v>1650</v>
      </c>
    </row>
    <row r="497" spans="1:3" ht="16.5" customHeight="1">
      <c r="A497" s="1944"/>
      <c r="B497" s="409" t="s">
        <v>1651</v>
      </c>
      <c r="C497" s="488" t="s">
        <v>1652</v>
      </c>
    </row>
    <row r="498" spans="1:3" ht="16.5" customHeight="1">
      <c r="A498" s="1944"/>
      <c r="B498" s="409" t="s">
        <v>1653</v>
      </c>
      <c r="C498" s="488" t="s">
        <v>1654</v>
      </c>
    </row>
    <row r="499" spans="1:3" ht="16.5" customHeight="1">
      <c r="A499" s="1944"/>
      <c r="B499" s="409" t="s">
        <v>1655</v>
      </c>
      <c r="C499" s="488" t="s">
        <v>1656</v>
      </c>
    </row>
    <row r="500" spans="1:3" ht="16.5" customHeight="1">
      <c r="A500" s="1944"/>
      <c r="B500" s="409" t="s">
        <v>1657</v>
      </c>
      <c r="C500" s="488" t="s">
        <v>1658</v>
      </c>
    </row>
    <row r="501" spans="1:3" ht="16.5" customHeight="1">
      <c r="A501" s="1944"/>
      <c r="B501" s="409" t="s">
        <v>1659</v>
      </c>
      <c r="C501" s="488" t="s">
        <v>1660</v>
      </c>
    </row>
    <row r="502" spans="1:3" ht="16.5" customHeight="1">
      <c r="A502" s="1944"/>
      <c r="B502" s="409" t="s">
        <v>1661</v>
      </c>
      <c r="C502" s="488" t="s">
        <v>1662</v>
      </c>
    </row>
    <row r="503" spans="1:3" ht="16.5" customHeight="1">
      <c r="A503" s="1944"/>
      <c r="B503" s="409" t="s">
        <v>1663</v>
      </c>
      <c r="C503" s="488" t="s">
        <v>1664</v>
      </c>
    </row>
    <row r="504" spans="1:3" ht="16.5" customHeight="1">
      <c r="A504" s="1944"/>
      <c r="B504" s="409" t="s">
        <v>1665</v>
      </c>
      <c r="C504" s="488" t="s">
        <v>1666</v>
      </c>
    </row>
    <row r="505" spans="1:3" ht="16.5" customHeight="1">
      <c r="A505" s="1944"/>
      <c r="B505" s="409" t="s">
        <v>1667</v>
      </c>
      <c r="C505" s="488" t="s">
        <v>1668</v>
      </c>
    </row>
    <row r="506" spans="1:3" ht="16.5" customHeight="1">
      <c r="A506" s="1944"/>
      <c r="B506" s="409" t="s">
        <v>1669</v>
      </c>
      <c r="C506" s="488" t="s">
        <v>1670</v>
      </c>
    </row>
    <row r="507" spans="1:3" ht="16.5" customHeight="1">
      <c r="A507" s="1944"/>
      <c r="B507" s="409" t="s">
        <v>1671</v>
      </c>
      <c r="C507" s="488" t="s">
        <v>1672</v>
      </c>
    </row>
    <row r="508" spans="1:3" ht="16.5" customHeight="1">
      <c r="A508" s="1944"/>
      <c r="B508" s="409" t="s">
        <v>1673</v>
      </c>
      <c r="C508" s="488" t="s">
        <v>1674</v>
      </c>
    </row>
    <row r="509" spans="1:3" ht="16.5" customHeight="1">
      <c r="A509" s="1944"/>
      <c r="B509" s="409" t="s">
        <v>1340</v>
      </c>
      <c r="C509" s="488" t="s">
        <v>1675</v>
      </c>
    </row>
    <row r="510" spans="1:3" ht="16.5" customHeight="1">
      <c r="A510" s="1944"/>
      <c r="B510" s="406" t="s">
        <v>1676</v>
      </c>
      <c r="C510" s="489" t="s">
        <v>1677</v>
      </c>
    </row>
    <row r="511" spans="1:3" ht="16.5" customHeight="1">
      <c r="A511" s="1945"/>
      <c r="B511" s="490" t="s">
        <v>1678</v>
      </c>
      <c r="C511" s="491" t="s">
        <v>1679</v>
      </c>
    </row>
    <row r="512" spans="1:3" ht="16.5" customHeight="1">
      <c r="A512" s="1932" t="s">
        <v>474</v>
      </c>
      <c r="B512" s="492" t="s">
        <v>1680</v>
      </c>
      <c r="C512" s="493" t="s">
        <v>1465</v>
      </c>
    </row>
    <row r="513" spans="1:3" ht="16.5" customHeight="1">
      <c r="A513" s="1933"/>
      <c r="B513" s="494" t="s">
        <v>1681</v>
      </c>
      <c r="C513" s="495" t="s">
        <v>1647</v>
      </c>
    </row>
    <row r="514" spans="1:3" ht="16.5" customHeight="1">
      <c r="A514" s="1933"/>
      <c r="B514" s="494" t="s">
        <v>1344</v>
      </c>
      <c r="C514" s="495" t="s">
        <v>1648</v>
      </c>
    </row>
    <row r="515" spans="1:3" ht="16.5" customHeight="1">
      <c r="A515" s="1933"/>
      <c r="B515" s="494" t="s">
        <v>1335</v>
      </c>
      <c r="C515" s="495" t="s">
        <v>1335</v>
      </c>
    </row>
    <row r="516" spans="1:3" ht="16.5" customHeight="1">
      <c r="A516" s="1933"/>
      <c r="B516" s="494" t="s">
        <v>1682</v>
      </c>
      <c r="C516" s="495" t="s">
        <v>1650</v>
      </c>
    </row>
    <row r="517" spans="1:3" ht="16.5" customHeight="1">
      <c r="A517" s="1933"/>
      <c r="B517" s="494" t="s">
        <v>1652</v>
      </c>
      <c r="C517" s="495" t="s">
        <v>1652</v>
      </c>
    </row>
    <row r="518" spans="1:3" ht="16.5" customHeight="1">
      <c r="A518" s="1933"/>
      <c r="B518" s="494" t="s">
        <v>1683</v>
      </c>
      <c r="C518" s="495" t="s">
        <v>1654</v>
      </c>
    </row>
    <row r="519" spans="1:3" ht="16.5" customHeight="1">
      <c r="A519" s="1933"/>
      <c r="B519" s="494" t="s">
        <v>1684</v>
      </c>
      <c r="C519" s="495" t="s">
        <v>1685</v>
      </c>
    </row>
    <row r="520" spans="1:3" ht="16.5" customHeight="1">
      <c r="A520" s="1933"/>
      <c r="B520" s="494" t="s">
        <v>1686</v>
      </c>
      <c r="C520" s="495" t="s">
        <v>1658</v>
      </c>
    </row>
    <row r="521" spans="1:3" ht="16.5" customHeight="1">
      <c r="A521" s="1933"/>
      <c r="B521" s="494" t="s">
        <v>1687</v>
      </c>
      <c r="C521" s="495" t="s">
        <v>1660</v>
      </c>
    </row>
    <row r="522" spans="1:3" ht="16.5" customHeight="1">
      <c r="A522" s="1933"/>
      <c r="B522" s="494" t="s">
        <v>1688</v>
      </c>
      <c r="C522" s="495" t="s">
        <v>1689</v>
      </c>
    </row>
    <row r="523" spans="1:3" ht="16.5" customHeight="1">
      <c r="A523" s="1933"/>
      <c r="B523" s="494" t="s">
        <v>1690</v>
      </c>
      <c r="C523" s="495" t="s">
        <v>1691</v>
      </c>
    </row>
    <row r="524" spans="1:3" ht="16.5" customHeight="1">
      <c r="A524" s="1933"/>
      <c r="B524" s="494" t="s">
        <v>1692</v>
      </c>
      <c r="C524" s="495" t="s">
        <v>1666</v>
      </c>
    </row>
    <row r="525" spans="1:3" ht="16.5" customHeight="1">
      <c r="A525" s="1933"/>
      <c r="B525" s="494" t="s">
        <v>1693</v>
      </c>
      <c r="C525" s="495" t="s">
        <v>1668</v>
      </c>
    </row>
    <row r="526" spans="1:3" ht="16.5" customHeight="1">
      <c r="A526" s="1933"/>
      <c r="B526" s="494" t="s">
        <v>1694</v>
      </c>
      <c r="C526" s="495" t="s">
        <v>1670</v>
      </c>
    </row>
    <row r="527" spans="1:3" ht="16.5" customHeight="1">
      <c r="A527" s="1933"/>
      <c r="B527" s="494" t="s">
        <v>1695</v>
      </c>
      <c r="C527" s="495" t="s">
        <v>1696</v>
      </c>
    </row>
    <row r="528" spans="1:3" ht="16.5" customHeight="1">
      <c r="A528" s="1933"/>
      <c r="B528" s="494" t="s">
        <v>1697</v>
      </c>
      <c r="C528" s="462" t="s">
        <v>1698</v>
      </c>
    </row>
    <row r="529" spans="1:3" ht="16.5" customHeight="1">
      <c r="A529" s="1933"/>
      <c r="B529" s="494" t="s">
        <v>1699</v>
      </c>
      <c r="C529" s="462" t="s">
        <v>1700</v>
      </c>
    </row>
    <row r="530" spans="1:3" ht="16.5" customHeight="1">
      <c r="A530" s="1933"/>
      <c r="B530" s="494" t="s">
        <v>1701</v>
      </c>
      <c r="C530" s="495" t="s">
        <v>1702</v>
      </c>
    </row>
    <row r="531" spans="1:3" ht="16.5" customHeight="1">
      <c r="A531" s="1933"/>
      <c r="B531" s="496" t="s">
        <v>1703</v>
      </c>
      <c r="C531" s="410" t="s">
        <v>1703</v>
      </c>
    </row>
    <row r="532" spans="1:3" ht="16.5" customHeight="1">
      <c r="A532" s="1933"/>
      <c r="B532" s="496" t="s">
        <v>1704</v>
      </c>
      <c r="C532" s="410" t="s">
        <v>1705</v>
      </c>
    </row>
    <row r="533" spans="1:3" ht="16.5" customHeight="1">
      <c r="A533" s="1933"/>
      <c r="B533" s="496" t="s">
        <v>1706</v>
      </c>
      <c r="C533" s="410" t="s">
        <v>1707</v>
      </c>
    </row>
    <row r="534" spans="1:3" ht="16.5" customHeight="1">
      <c r="A534" s="1933"/>
      <c r="B534" s="496" t="s">
        <v>1708</v>
      </c>
      <c r="C534" s="410" t="s">
        <v>1709</v>
      </c>
    </row>
    <row r="535" spans="1:3" ht="16.5" customHeight="1">
      <c r="A535" s="1933"/>
      <c r="B535" s="496" t="s">
        <v>1710</v>
      </c>
      <c r="C535" s="410" t="s">
        <v>1711</v>
      </c>
    </row>
    <row r="536" spans="1:3" ht="16.5" customHeight="1">
      <c r="A536" s="1933"/>
      <c r="B536" s="496" t="s">
        <v>1712</v>
      </c>
      <c r="C536" s="410" t="s">
        <v>1713</v>
      </c>
    </row>
    <row r="537" spans="1:3" ht="16.5" customHeight="1">
      <c r="A537" s="1933"/>
      <c r="B537" s="497" t="s">
        <v>1346</v>
      </c>
      <c r="C537" s="498" t="s">
        <v>1675</v>
      </c>
    </row>
    <row r="538" spans="1:3" ht="16.5" customHeight="1">
      <c r="A538" s="1933"/>
      <c r="B538" s="496" t="s">
        <v>1714</v>
      </c>
      <c r="C538" s="410" t="s">
        <v>1715</v>
      </c>
    </row>
    <row r="539" spans="1:3" ht="16.5" customHeight="1">
      <c r="A539" s="1933"/>
      <c r="B539" s="497" t="s">
        <v>1716</v>
      </c>
      <c r="C539" s="498" t="s">
        <v>1677</v>
      </c>
    </row>
    <row r="540" spans="1:3" ht="16.5" customHeight="1">
      <c r="A540" s="1933"/>
      <c r="B540" s="499" t="s">
        <v>1717</v>
      </c>
      <c r="C540" s="500" t="s">
        <v>1718</v>
      </c>
    </row>
    <row r="541" spans="1:3" ht="16.5" customHeight="1">
      <c r="A541" s="1933"/>
      <c r="B541" s="499" t="s">
        <v>1719</v>
      </c>
      <c r="C541" s="500" t="s">
        <v>1720</v>
      </c>
    </row>
    <row r="542" spans="1:3" ht="16.5" customHeight="1">
      <c r="A542" s="1933"/>
      <c r="B542" s="348" t="s">
        <v>1721</v>
      </c>
      <c r="C542" s="500" t="s">
        <v>1722</v>
      </c>
    </row>
    <row r="543" spans="1:3" ht="16.5" customHeight="1">
      <c r="A543" s="1934"/>
      <c r="B543" s="501" t="s">
        <v>1699</v>
      </c>
      <c r="C543" s="502" t="s">
        <v>1700</v>
      </c>
    </row>
    <row r="544" spans="1:3" ht="16.5" customHeight="1">
      <c r="A544" s="1935" t="s">
        <v>475</v>
      </c>
      <c r="B544" s="503" t="s">
        <v>1587</v>
      </c>
      <c r="C544" s="493" t="s">
        <v>1689</v>
      </c>
    </row>
    <row r="545" spans="1:3" ht="16.5" customHeight="1">
      <c r="A545" s="1936"/>
      <c r="B545" s="499" t="s">
        <v>1588</v>
      </c>
      <c r="C545" s="495" t="s">
        <v>1465</v>
      </c>
    </row>
    <row r="546" spans="1:3" ht="16.5" customHeight="1">
      <c r="A546" s="1936"/>
      <c r="B546" s="499" t="s">
        <v>1877</v>
      </c>
      <c r="C546" s="495" t="s">
        <v>1878</v>
      </c>
    </row>
    <row r="547" spans="1:3" ht="16.5" customHeight="1">
      <c r="A547" s="1936"/>
      <c r="B547" s="496" t="s">
        <v>1723</v>
      </c>
      <c r="C547" s="495" t="s">
        <v>1702</v>
      </c>
    </row>
    <row r="548" spans="1:3" ht="16.5" customHeight="1">
      <c r="A548" s="1936"/>
      <c r="B548" s="496" t="s">
        <v>1724</v>
      </c>
      <c r="C548" s="495" t="s">
        <v>1654</v>
      </c>
    </row>
    <row r="549" spans="1:3" ht="16.5" customHeight="1">
      <c r="A549" s="1936"/>
      <c r="B549" s="499" t="s">
        <v>1725</v>
      </c>
      <c r="C549" s="495" t="s">
        <v>1648</v>
      </c>
    </row>
    <row r="550" spans="1:3" ht="16.5" customHeight="1">
      <c r="A550" s="1936"/>
      <c r="B550" s="496" t="s">
        <v>1726</v>
      </c>
      <c r="C550" s="500" t="s">
        <v>1718</v>
      </c>
    </row>
    <row r="551" spans="1:3" ht="16.5" customHeight="1">
      <c r="A551" s="1936"/>
      <c r="B551" s="496" t="s">
        <v>1881</v>
      </c>
      <c r="C551" s="500" t="s">
        <v>1720</v>
      </c>
    </row>
    <row r="552" spans="1:3" ht="16.5" customHeight="1">
      <c r="A552" s="1936"/>
      <c r="B552" s="496" t="s">
        <v>1728</v>
      </c>
      <c r="C552" s="410" t="s">
        <v>1707</v>
      </c>
    </row>
    <row r="553" spans="1:3" ht="16.5" customHeight="1">
      <c r="A553" s="1936"/>
      <c r="B553" s="496" t="s">
        <v>1729</v>
      </c>
      <c r="C553" s="495" t="s">
        <v>1670</v>
      </c>
    </row>
    <row r="554" spans="1:3" ht="16.5" customHeight="1">
      <c r="A554" s="1936"/>
      <c r="B554" s="496" t="s">
        <v>1730</v>
      </c>
      <c r="C554" s="495" t="s">
        <v>1696</v>
      </c>
    </row>
    <row r="555" spans="1:3" ht="16.5" customHeight="1">
      <c r="A555" s="1936"/>
      <c r="B555" s="496" t="s">
        <v>1731</v>
      </c>
      <c r="C555" s="495" t="s">
        <v>1658</v>
      </c>
    </row>
    <row r="556" spans="1:3" ht="16.5" customHeight="1">
      <c r="A556" s="1936"/>
      <c r="B556" s="496" t="s">
        <v>1732</v>
      </c>
      <c r="C556" s="462" t="s">
        <v>1698</v>
      </c>
    </row>
    <row r="557" spans="1:3" ht="16.5" customHeight="1">
      <c r="A557" s="1936"/>
      <c r="B557" s="496" t="s">
        <v>1733</v>
      </c>
      <c r="C557" s="495" t="s">
        <v>1685</v>
      </c>
    </row>
    <row r="558" spans="1:3" ht="16.5" customHeight="1">
      <c r="A558" s="1936"/>
      <c r="B558" s="496" t="s">
        <v>1727</v>
      </c>
      <c r="C558" s="410" t="s">
        <v>1705</v>
      </c>
    </row>
    <row r="559" spans="1:3" ht="16.5" customHeight="1">
      <c r="A559" s="1936"/>
      <c r="B559" s="496" t="s">
        <v>1734</v>
      </c>
      <c r="C559" s="410" t="s">
        <v>1713</v>
      </c>
    </row>
    <row r="560" spans="1:3" ht="16.5" customHeight="1">
      <c r="A560" s="1936"/>
      <c r="B560" s="496" t="s">
        <v>1454</v>
      </c>
      <c r="C560" s="495" t="s">
        <v>1691</v>
      </c>
    </row>
    <row r="561" spans="1:3" ht="16.5" customHeight="1">
      <c r="A561" s="1936"/>
      <c r="B561" s="496" t="s">
        <v>1844</v>
      </c>
      <c r="C561" s="495" t="s">
        <v>1660</v>
      </c>
    </row>
    <row r="562" spans="1:3" ht="16.5" customHeight="1">
      <c r="A562" s="1936"/>
      <c r="B562" s="496" t="s">
        <v>1736</v>
      </c>
      <c r="C562" s="495" t="s">
        <v>1668</v>
      </c>
    </row>
    <row r="563" spans="1:3" ht="16.5" customHeight="1">
      <c r="A563" s="1936"/>
      <c r="B563" s="496" t="s">
        <v>1737</v>
      </c>
      <c r="C563" s="495" t="s">
        <v>1652</v>
      </c>
    </row>
    <row r="564" spans="1:3" ht="16.5" customHeight="1">
      <c r="A564" s="1936"/>
      <c r="B564" s="496" t="s">
        <v>1738</v>
      </c>
      <c r="C564" s="462" t="s">
        <v>1700</v>
      </c>
    </row>
    <row r="565" spans="1:3" ht="16.5" customHeight="1">
      <c r="A565" s="1936"/>
      <c r="B565" s="496" t="s">
        <v>1739</v>
      </c>
      <c r="C565" s="410" t="s">
        <v>1703</v>
      </c>
    </row>
    <row r="566" spans="1:3" ht="16.5" customHeight="1">
      <c r="A566" s="1936"/>
      <c r="B566" s="496" t="s">
        <v>1879</v>
      </c>
      <c r="C566" s="410" t="s">
        <v>1880</v>
      </c>
    </row>
    <row r="567" spans="1:3" ht="16.5" customHeight="1">
      <c r="A567" s="1936"/>
      <c r="B567" s="496" t="s">
        <v>1743</v>
      </c>
      <c r="C567" s="495" t="s">
        <v>1666</v>
      </c>
    </row>
    <row r="568" spans="1:3" ht="16.5" customHeight="1">
      <c r="A568" s="1936"/>
      <c r="B568" s="496" t="s">
        <v>1735</v>
      </c>
      <c r="C568" s="410" t="s">
        <v>1711</v>
      </c>
    </row>
    <row r="569" spans="1:3" ht="16.5" customHeight="1">
      <c r="A569" s="1936"/>
      <c r="B569" s="499" t="s">
        <v>1744</v>
      </c>
      <c r="C569" s="495" t="s">
        <v>1647</v>
      </c>
    </row>
    <row r="570" spans="1:3" ht="16.5" customHeight="1">
      <c r="A570" s="1936"/>
      <c r="B570" s="496" t="s">
        <v>1740</v>
      </c>
      <c r="C570" s="410" t="s">
        <v>1709</v>
      </c>
    </row>
    <row r="571" spans="1:3" ht="16.5" customHeight="1">
      <c r="A571" s="1936"/>
      <c r="B571" s="496" t="s">
        <v>1347</v>
      </c>
      <c r="C571" s="495" t="s">
        <v>1335</v>
      </c>
    </row>
    <row r="572" spans="1:3" ht="16.5" customHeight="1">
      <c r="A572" s="1936"/>
      <c r="B572" s="496" t="s">
        <v>1741</v>
      </c>
      <c r="C572" s="495" t="s">
        <v>1650</v>
      </c>
    </row>
    <row r="573" spans="1:3" ht="16.5" customHeight="1">
      <c r="A573" s="1936"/>
      <c r="B573" s="496" t="s">
        <v>1742</v>
      </c>
      <c r="C573" s="500" t="s">
        <v>1722</v>
      </c>
    </row>
    <row r="574" spans="1:3" ht="16.5" customHeight="1">
      <c r="A574" s="1936"/>
      <c r="B574" s="496" t="s">
        <v>1349</v>
      </c>
      <c r="C574" s="410" t="s">
        <v>1675</v>
      </c>
    </row>
    <row r="575" spans="1:3" ht="16.5" customHeight="1">
      <c r="A575" s="1937"/>
      <c r="B575" s="259" t="s">
        <v>1745</v>
      </c>
      <c r="C575" s="414" t="s">
        <v>1677</v>
      </c>
    </row>
    <row r="576" spans="1:3" ht="16.5" customHeight="1">
      <c r="A576" s="1946" t="s">
        <v>478</v>
      </c>
      <c r="B576" s="463" t="s">
        <v>1746</v>
      </c>
      <c r="C576" s="504" t="s">
        <v>1465</v>
      </c>
    </row>
    <row r="577" spans="1:3" ht="16.5" customHeight="1">
      <c r="A577" s="1947"/>
      <c r="B577" s="479" t="s">
        <v>1747</v>
      </c>
      <c r="C577" s="505" t="s">
        <v>1647</v>
      </c>
    </row>
    <row r="578" spans="1:3" ht="16.5" customHeight="1">
      <c r="A578" s="1947"/>
      <c r="B578" s="479" t="s">
        <v>1748</v>
      </c>
      <c r="C578" s="505" t="s">
        <v>1648</v>
      </c>
    </row>
    <row r="579" spans="1:3" ht="16.5" customHeight="1">
      <c r="A579" s="1947"/>
      <c r="B579" s="479" t="s">
        <v>1749</v>
      </c>
      <c r="C579" s="505" t="s">
        <v>1335</v>
      </c>
    </row>
    <row r="580" spans="1:3" ht="16.5" customHeight="1">
      <c r="A580" s="1947"/>
      <c r="B580" s="506" t="s">
        <v>1750</v>
      </c>
      <c r="C580" s="505" t="s">
        <v>1650</v>
      </c>
    </row>
    <row r="581" spans="1:3" ht="16.5" customHeight="1">
      <c r="A581" s="1947"/>
      <c r="B581" s="506" t="s">
        <v>1751</v>
      </c>
      <c r="C581" s="505" t="s">
        <v>1652</v>
      </c>
    </row>
    <row r="582" spans="1:3" ht="16.5" customHeight="1">
      <c r="A582" s="1947"/>
      <c r="B582" s="506" t="s">
        <v>1752</v>
      </c>
      <c r="C582" s="505" t="s">
        <v>1654</v>
      </c>
    </row>
    <row r="583" spans="1:3" ht="16.5" customHeight="1">
      <c r="A583" s="1947"/>
      <c r="B583" s="506" t="s">
        <v>1753</v>
      </c>
      <c r="C583" s="505" t="s">
        <v>1685</v>
      </c>
    </row>
    <row r="584" spans="1:3" ht="16.5" customHeight="1">
      <c r="A584" s="1947"/>
      <c r="B584" s="506" t="s">
        <v>1754</v>
      </c>
      <c r="C584" s="505" t="s">
        <v>1658</v>
      </c>
    </row>
    <row r="585" spans="1:3" ht="16.5" customHeight="1">
      <c r="A585" s="1947"/>
      <c r="B585" s="506" t="s">
        <v>1755</v>
      </c>
      <c r="C585" s="505" t="s">
        <v>1660</v>
      </c>
    </row>
    <row r="586" spans="1:3" ht="16.5" customHeight="1">
      <c r="A586" s="1947"/>
      <c r="B586" s="506" t="s">
        <v>1756</v>
      </c>
      <c r="C586" s="505" t="s">
        <v>1689</v>
      </c>
    </row>
    <row r="587" spans="1:3" ht="16.5" customHeight="1">
      <c r="A587" s="1947"/>
      <c r="B587" s="506" t="s">
        <v>1757</v>
      </c>
      <c r="C587" s="505" t="s">
        <v>1691</v>
      </c>
    </row>
    <row r="588" spans="1:3" ht="16.5" customHeight="1">
      <c r="A588" s="1947"/>
      <c r="B588" s="506" t="s">
        <v>1758</v>
      </c>
      <c r="C588" s="505" t="s">
        <v>1666</v>
      </c>
    </row>
    <row r="589" spans="1:3" ht="16.5" customHeight="1">
      <c r="A589" s="1947"/>
      <c r="B589" s="506" t="s">
        <v>1625</v>
      </c>
      <c r="C589" s="505" t="s">
        <v>1668</v>
      </c>
    </row>
    <row r="590" spans="1:3" ht="16.5" customHeight="1">
      <c r="A590" s="1947"/>
      <c r="B590" s="506" t="s">
        <v>1759</v>
      </c>
      <c r="C590" s="505" t="s">
        <v>1670</v>
      </c>
    </row>
    <row r="591" spans="1:3" ht="16.5" customHeight="1">
      <c r="A591" s="1947"/>
      <c r="B591" s="506" t="s">
        <v>1760</v>
      </c>
      <c r="C591" s="505" t="s">
        <v>1696</v>
      </c>
    </row>
    <row r="592" spans="1:3" ht="16.5" customHeight="1">
      <c r="A592" s="1947"/>
      <c r="B592" s="506" t="s">
        <v>1761</v>
      </c>
      <c r="C592" s="507" t="s">
        <v>1698</v>
      </c>
    </row>
    <row r="593" spans="1:3" ht="16.5" customHeight="1">
      <c r="A593" s="1947"/>
      <c r="B593" s="506" t="s">
        <v>1762</v>
      </c>
      <c r="C593" s="507" t="s">
        <v>1700</v>
      </c>
    </row>
    <row r="594" spans="1:3" ht="16.5" customHeight="1">
      <c r="A594" s="1947"/>
      <c r="B594" s="506" t="s">
        <v>1763</v>
      </c>
      <c r="C594" s="505" t="s">
        <v>1702</v>
      </c>
    </row>
    <row r="595" spans="1:3" ht="16.5" customHeight="1">
      <c r="A595" s="1947"/>
      <c r="B595" s="506" t="s">
        <v>1764</v>
      </c>
      <c r="C595" s="508" t="s">
        <v>1703</v>
      </c>
    </row>
    <row r="596" spans="1:3" ht="16.5" customHeight="1">
      <c r="A596" s="1947"/>
      <c r="B596" s="506" t="s">
        <v>1765</v>
      </c>
      <c r="C596" s="508" t="s">
        <v>1705</v>
      </c>
    </row>
    <row r="597" spans="1:3" ht="16.5" customHeight="1">
      <c r="A597" s="1947"/>
      <c r="B597" s="506" t="s">
        <v>1766</v>
      </c>
      <c r="C597" s="508" t="s">
        <v>1707</v>
      </c>
    </row>
    <row r="598" spans="1:3" ht="16.5" customHeight="1">
      <c r="A598" s="1947"/>
      <c r="B598" s="506" t="s">
        <v>1767</v>
      </c>
      <c r="C598" s="508" t="s">
        <v>1709</v>
      </c>
    </row>
    <row r="599" spans="1:3" ht="16.5" customHeight="1">
      <c r="A599" s="1947"/>
      <c r="B599" s="506" t="s">
        <v>1768</v>
      </c>
      <c r="C599" s="508" t="s">
        <v>1711</v>
      </c>
    </row>
    <row r="600" spans="1:3" ht="16.5" customHeight="1">
      <c r="A600" s="1947"/>
      <c r="B600" s="506" t="s">
        <v>1769</v>
      </c>
      <c r="C600" s="508" t="s">
        <v>1713</v>
      </c>
    </row>
    <row r="601" spans="1:3" ht="16.5" customHeight="1">
      <c r="A601" s="1947"/>
      <c r="B601" s="506" t="s">
        <v>256</v>
      </c>
      <c r="C601" s="509" t="s">
        <v>1675</v>
      </c>
    </row>
    <row r="602" spans="1:3" ht="16.5" customHeight="1">
      <c r="A602" s="1947"/>
      <c r="B602" s="506" t="s">
        <v>1770</v>
      </c>
      <c r="C602" s="508" t="s">
        <v>1715</v>
      </c>
    </row>
    <row r="603" spans="1:3" ht="16.5" customHeight="1">
      <c r="A603" s="1947"/>
      <c r="B603" s="506" t="s">
        <v>1771</v>
      </c>
      <c r="C603" s="509" t="s">
        <v>1677</v>
      </c>
    </row>
    <row r="604" spans="1:3" ht="16.5" customHeight="1">
      <c r="A604" s="1947"/>
      <c r="B604" s="506" t="s">
        <v>1772</v>
      </c>
      <c r="C604" s="510" t="s">
        <v>1718</v>
      </c>
    </row>
    <row r="605" spans="1:3" ht="16.5" customHeight="1">
      <c r="A605" s="1947"/>
      <c r="B605" s="506" t="s">
        <v>1773</v>
      </c>
      <c r="C605" s="510" t="s">
        <v>1720</v>
      </c>
    </row>
    <row r="606" spans="1:3" ht="16.5" customHeight="1">
      <c r="A606" s="1948"/>
      <c r="B606" s="511" t="s">
        <v>1774</v>
      </c>
      <c r="C606" s="512" t="s">
        <v>1722</v>
      </c>
    </row>
    <row r="607" spans="1:3" ht="16.5" customHeight="1">
      <c r="A607" s="1949" t="s">
        <v>485</v>
      </c>
      <c r="B607" s="513" t="s">
        <v>1465</v>
      </c>
      <c r="C607" s="514" t="s">
        <v>1465</v>
      </c>
    </row>
    <row r="608" spans="1:3" ht="16.5" customHeight="1">
      <c r="A608" s="1949"/>
      <c r="B608" s="515" t="s">
        <v>1647</v>
      </c>
      <c r="C608" s="505" t="s">
        <v>1647</v>
      </c>
    </row>
    <row r="609" spans="1:3" ht="16.5" customHeight="1">
      <c r="A609" s="1949"/>
      <c r="B609" s="515" t="s">
        <v>1648</v>
      </c>
      <c r="C609" s="505" t="s">
        <v>1648</v>
      </c>
    </row>
    <row r="610" spans="1:3" ht="16.5" customHeight="1">
      <c r="A610" s="1949"/>
      <c r="B610" s="515" t="s">
        <v>1335</v>
      </c>
      <c r="C610" s="505" t="s">
        <v>1335</v>
      </c>
    </row>
    <row r="611" spans="1:3" ht="16.5" customHeight="1">
      <c r="A611" s="1949"/>
      <c r="B611" s="515" t="s">
        <v>1650</v>
      </c>
      <c r="C611" s="505" t="s">
        <v>1650</v>
      </c>
    </row>
    <row r="612" spans="1:3" ht="16.5" customHeight="1">
      <c r="A612" s="1949"/>
      <c r="B612" s="515" t="s">
        <v>1652</v>
      </c>
      <c r="C612" s="505" t="s">
        <v>1652</v>
      </c>
    </row>
    <row r="613" spans="1:3" ht="16.5" customHeight="1">
      <c r="A613" s="1949"/>
      <c r="B613" s="515" t="s">
        <v>1654</v>
      </c>
      <c r="C613" s="505" t="s">
        <v>1654</v>
      </c>
    </row>
    <row r="614" spans="1:3" ht="16.5" customHeight="1">
      <c r="A614" s="1949"/>
      <c r="B614" s="515" t="s">
        <v>1685</v>
      </c>
      <c r="C614" s="505" t="s">
        <v>1685</v>
      </c>
    </row>
    <row r="615" spans="1:3" ht="16.5" customHeight="1">
      <c r="A615" s="1949"/>
      <c r="B615" s="515" t="s">
        <v>1658</v>
      </c>
      <c r="C615" s="505" t="s">
        <v>1658</v>
      </c>
    </row>
    <row r="616" spans="1:3" ht="16.5" customHeight="1">
      <c r="A616" s="1949"/>
      <c r="B616" s="515" t="s">
        <v>1660</v>
      </c>
      <c r="C616" s="505" t="s">
        <v>1660</v>
      </c>
    </row>
    <row r="617" spans="1:3" ht="16.5" customHeight="1">
      <c r="A617" s="1949"/>
      <c r="B617" s="515" t="s">
        <v>1689</v>
      </c>
      <c r="C617" s="505" t="s">
        <v>1689</v>
      </c>
    </row>
    <row r="618" spans="1:3" ht="16.5" customHeight="1">
      <c r="A618" s="1949"/>
      <c r="B618" s="515" t="s">
        <v>1691</v>
      </c>
      <c r="C618" s="505" t="s">
        <v>1691</v>
      </c>
    </row>
    <row r="619" spans="1:3" ht="16.5" customHeight="1">
      <c r="A619" s="1949"/>
      <c r="B619" s="515" t="s">
        <v>1666</v>
      </c>
      <c r="C619" s="505" t="s">
        <v>1666</v>
      </c>
    </row>
    <row r="620" spans="1:3" ht="16.5" customHeight="1">
      <c r="A620" s="1949"/>
      <c r="B620" s="515" t="s">
        <v>1668</v>
      </c>
      <c r="C620" s="505" t="s">
        <v>1668</v>
      </c>
    </row>
    <row r="621" spans="1:3" ht="16.5" customHeight="1">
      <c r="A621" s="1949"/>
      <c r="B621" s="515" t="s">
        <v>1670</v>
      </c>
      <c r="C621" s="505" t="s">
        <v>1670</v>
      </c>
    </row>
    <row r="622" spans="1:3" ht="16.5" customHeight="1">
      <c r="A622" s="1949"/>
      <c r="B622" s="515" t="s">
        <v>1696</v>
      </c>
      <c r="C622" s="505" t="s">
        <v>1696</v>
      </c>
    </row>
    <row r="623" spans="1:3" ht="16.5" customHeight="1">
      <c r="A623" s="1949"/>
      <c r="B623" s="494" t="s">
        <v>1698</v>
      </c>
      <c r="C623" s="507" t="s">
        <v>1698</v>
      </c>
    </row>
    <row r="624" spans="1:3" ht="16.5" customHeight="1">
      <c r="A624" s="1949"/>
      <c r="B624" s="494" t="s">
        <v>1700</v>
      </c>
      <c r="C624" s="507" t="s">
        <v>1700</v>
      </c>
    </row>
    <row r="625" spans="1:3" ht="16.5" customHeight="1">
      <c r="A625" s="1949"/>
      <c r="B625" s="515" t="s">
        <v>1702</v>
      </c>
      <c r="C625" s="505" t="s">
        <v>1702</v>
      </c>
    </row>
    <row r="626" spans="1:3" ht="16.5" customHeight="1">
      <c r="A626" s="1949"/>
      <c r="B626" s="496" t="s">
        <v>1703</v>
      </c>
      <c r="C626" s="508" t="s">
        <v>1703</v>
      </c>
    </row>
    <row r="627" spans="1:3" ht="16.5" customHeight="1">
      <c r="A627" s="1949"/>
      <c r="B627" s="496" t="s">
        <v>1705</v>
      </c>
      <c r="C627" s="508" t="s">
        <v>1705</v>
      </c>
    </row>
    <row r="628" spans="1:3" ht="16.5" customHeight="1">
      <c r="A628" s="1949"/>
      <c r="B628" s="496" t="s">
        <v>1707</v>
      </c>
      <c r="C628" s="508" t="s">
        <v>1707</v>
      </c>
    </row>
    <row r="629" spans="1:3" ht="16.5" customHeight="1">
      <c r="A629" s="1949"/>
      <c r="B629" s="496" t="s">
        <v>1709</v>
      </c>
      <c r="C629" s="508" t="s">
        <v>1709</v>
      </c>
    </row>
    <row r="630" spans="1:3" ht="16.5" customHeight="1">
      <c r="A630" s="1949"/>
      <c r="B630" s="496" t="s">
        <v>1711</v>
      </c>
      <c r="C630" s="508" t="s">
        <v>1711</v>
      </c>
    </row>
    <row r="631" spans="1:3" ht="16.5" customHeight="1">
      <c r="A631" s="1949"/>
      <c r="B631" s="496" t="s">
        <v>1713</v>
      </c>
      <c r="C631" s="508" t="s">
        <v>1713</v>
      </c>
    </row>
    <row r="632" spans="1:3" ht="16.5" customHeight="1">
      <c r="A632" s="1949"/>
      <c r="B632" s="496" t="s">
        <v>1675</v>
      </c>
      <c r="C632" s="509" t="s">
        <v>1675</v>
      </c>
    </row>
    <row r="633" spans="1:3" ht="16.5" customHeight="1">
      <c r="A633" s="1949"/>
      <c r="B633" s="496" t="s">
        <v>1715</v>
      </c>
      <c r="C633" s="508" t="s">
        <v>1715</v>
      </c>
    </row>
    <row r="634" spans="1:3" ht="16.5" customHeight="1">
      <c r="A634" s="1949"/>
      <c r="B634" s="496" t="s">
        <v>1677</v>
      </c>
      <c r="C634" s="509" t="s">
        <v>1677</v>
      </c>
    </row>
    <row r="635" spans="1:3" ht="16.5" customHeight="1">
      <c r="A635" s="1949"/>
      <c r="B635" s="499" t="s">
        <v>1718</v>
      </c>
      <c r="C635" s="510" t="s">
        <v>1718</v>
      </c>
    </row>
    <row r="636" spans="1:3" ht="16.5" customHeight="1">
      <c r="A636" s="1949"/>
      <c r="B636" s="499" t="s">
        <v>1720</v>
      </c>
      <c r="C636" s="510" t="s">
        <v>1720</v>
      </c>
    </row>
    <row r="637" spans="1:3" ht="16.5" customHeight="1">
      <c r="A637" s="1950"/>
      <c r="B637" s="516" t="s">
        <v>1722</v>
      </c>
      <c r="C637" s="517" t="s">
        <v>1722</v>
      </c>
    </row>
    <row r="640" spans="1:3" ht="16.5" customHeight="1">
      <c r="A640" s="1816" t="s">
        <v>1775</v>
      </c>
      <c r="B640" s="1817"/>
      <c r="C640" s="1818"/>
    </row>
    <row r="641" spans="1:3" ht="16.5" customHeight="1">
      <c r="A641" s="1951" t="s">
        <v>369</v>
      </c>
      <c r="B641" s="518" t="s">
        <v>1776</v>
      </c>
      <c r="C641" s="519" t="s">
        <v>1266</v>
      </c>
    </row>
    <row r="642" spans="1:3" ht="16.5" customHeight="1">
      <c r="A642" s="1952"/>
      <c r="B642" s="520" t="s">
        <v>1777</v>
      </c>
      <c r="C642" s="521" t="s">
        <v>1778</v>
      </c>
    </row>
    <row r="643" spans="1:3" ht="16.5" customHeight="1">
      <c r="A643" s="1952"/>
      <c r="B643" s="520" t="s">
        <v>1779</v>
      </c>
      <c r="C643" s="521" t="s">
        <v>1780</v>
      </c>
    </row>
    <row r="644" spans="1:3" ht="16.5" customHeight="1">
      <c r="A644" s="1953"/>
      <c r="B644" s="522" t="s">
        <v>1781</v>
      </c>
      <c r="C644" s="523" t="s">
        <v>1240</v>
      </c>
    </row>
    <row r="645" spans="1:3" ht="16.5" customHeight="1">
      <c r="A645" s="1903" t="s">
        <v>429</v>
      </c>
      <c r="B645" s="524" t="s">
        <v>1782</v>
      </c>
      <c r="C645" s="525" t="s">
        <v>1266</v>
      </c>
    </row>
    <row r="646" spans="1:3" ht="16.5" customHeight="1">
      <c r="A646" s="1904"/>
      <c r="B646" s="526" t="s">
        <v>1783</v>
      </c>
      <c r="C646" s="521" t="s">
        <v>1778</v>
      </c>
    </row>
    <row r="647" spans="1:3" ht="16.5" customHeight="1">
      <c r="A647" s="1904"/>
      <c r="B647" s="526" t="s">
        <v>1784</v>
      </c>
      <c r="C647" s="521" t="s">
        <v>1780</v>
      </c>
    </row>
    <row r="648" spans="1:3" ht="16.5" customHeight="1">
      <c r="A648" s="1905"/>
      <c r="B648" s="526" t="s">
        <v>1240</v>
      </c>
      <c r="C648" s="523" t="s">
        <v>1240</v>
      </c>
    </row>
    <row r="649" spans="1:3" ht="16.5" customHeight="1">
      <c r="A649" s="1906" t="s">
        <v>441</v>
      </c>
      <c r="B649" s="694" t="s">
        <v>1786</v>
      </c>
      <c r="C649" s="528" t="s">
        <v>1778</v>
      </c>
    </row>
    <row r="650" spans="1:3" ht="16.5" customHeight="1">
      <c r="A650" s="1907"/>
      <c r="B650" s="529" t="s">
        <v>1789</v>
      </c>
      <c r="C650" s="692" t="s">
        <v>1790</v>
      </c>
    </row>
    <row r="651" spans="1:3" ht="16.5" customHeight="1">
      <c r="A651" s="1907"/>
      <c r="B651" s="526" t="s">
        <v>1788</v>
      </c>
      <c r="C651" s="521" t="s">
        <v>1240</v>
      </c>
    </row>
    <row r="652" spans="1:3" ht="16.5" customHeight="1">
      <c r="A652" s="1907"/>
      <c r="B652" s="526" t="s">
        <v>1785</v>
      </c>
      <c r="C652" s="521" t="s">
        <v>1266</v>
      </c>
    </row>
    <row r="653" spans="1:3" ht="16.5" customHeight="1">
      <c r="A653" s="1907"/>
      <c r="B653" s="526" t="s">
        <v>1883</v>
      </c>
      <c r="C653" s="521" t="s">
        <v>1882</v>
      </c>
    </row>
    <row r="654" spans="1:3" ht="16.5" customHeight="1">
      <c r="A654" s="1908"/>
      <c r="B654" s="691" t="s">
        <v>1787</v>
      </c>
      <c r="C654" s="693" t="s">
        <v>1780</v>
      </c>
    </row>
    <row r="655" spans="1:3" ht="16.5" customHeight="1">
      <c r="A655" s="1909" t="s">
        <v>462</v>
      </c>
      <c r="B655" s="530" t="s">
        <v>1342</v>
      </c>
      <c r="C655" s="528" t="s">
        <v>1266</v>
      </c>
    </row>
    <row r="656" spans="1:3" ht="16.5" customHeight="1">
      <c r="A656" s="1910"/>
      <c r="B656" s="530" t="s">
        <v>1791</v>
      </c>
      <c r="C656" s="521" t="s">
        <v>1778</v>
      </c>
    </row>
    <row r="657" spans="1:4" ht="16.5" customHeight="1">
      <c r="A657" s="1910"/>
      <c r="B657" s="530" t="s">
        <v>1792</v>
      </c>
      <c r="C657" s="521" t="s">
        <v>1780</v>
      </c>
    </row>
    <row r="658" spans="1:4" ht="16.5" customHeight="1">
      <c r="A658" s="1911"/>
      <c r="B658" s="530" t="s">
        <v>1793</v>
      </c>
      <c r="C658" s="523" t="s">
        <v>1240</v>
      </c>
    </row>
    <row r="659" spans="1:4" ht="16.5" customHeight="1">
      <c r="A659" s="1912" t="s">
        <v>476</v>
      </c>
      <c r="B659" s="527" t="s">
        <v>1266</v>
      </c>
      <c r="C659" s="316"/>
    </row>
    <row r="660" spans="1:4" ht="16.5" customHeight="1">
      <c r="A660" s="1913"/>
      <c r="B660" s="526" t="s">
        <v>1778</v>
      </c>
      <c r="C660" s="319"/>
    </row>
    <row r="661" spans="1:4" ht="16.5" customHeight="1">
      <c r="A661" s="1913"/>
      <c r="B661" s="526" t="s">
        <v>1780</v>
      </c>
      <c r="C661" s="319"/>
    </row>
    <row r="662" spans="1:4" ht="16.5" customHeight="1">
      <c r="A662" s="1914"/>
      <c r="B662" s="531" t="s">
        <v>1240</v>
      </c>
      <c r="C662" s="468"/>
    </row>
    <row r="665" spans="1:4" ht="16.5" customHeight="1">
      <c r="A665" s="1816" t="s">
        <v>1794</v>
      </c>
      <c r="B665" s="1817"/>
      <c r="C665" s="1818"/>
    </row>
    <row r="666" spans="1:4" ht="16.5" customHeight="1">
      <c r="A666" s="1824" t="s">
        <v>369</v>
      </c>
      <c r="B666" s="87" t="s">
        <v>1795</v>
      </c>
      <c r="C666" s="372" t="s">
        <v>1086</v>
      </c>
      <c r="D666" s="69" t="s">
        <v>1796</v>
      </c>
    </row>
    <row r="667" spans="1:4" ht="16.5" customHeight="1">
      <c r="A667" s="1825"/>
      <c r="B667" s="91" t="s">
        <v>1797</v>
      </c>
      <c r="C667" s="373" t="s">
        <v>1095</v>
      </c>
      <c r="D667" s="69" t="s">
        <v>1796</v>
      </c>
    </row>
    <row r="668" spans="1:4" ht="16.5" customHeight="1">
      <c r="A668" s="1826"/>
      <c r="B668" s="374" t="s">
        <v>1798</v>
      </c>
      <c r="C668" s="375" t="s">
        <v>1799</v>
      </c>
      <c r="D668" s="69" t="s">
        <v>1796</v>
      </c>
    </row>
    <row r="669" spans="1:4" ht="16.5" customHeight="1">
      <c r="A669" s="1827" t="s">
        <v>429</v>
      </c>
      <c r="B669" s="376" t="s">
        <v>1800</v>
      </c>
      <c r="C669" s="377" t="s">
        <v>1086</v>
      </c>
      <c r="D669" s="69" t="s">
        <v>1796</v>
      </c>
    </row>
    <row r="670" spans="1:4" ht="16.5" customHeight="1">
      <c r="A670" s="1828"/>
      <c r="B670" s="378" t="s">
        <v>1801</v>
      </c>
      <c r="C670" s="373" t="s">
        <v>1095</v>
      </c>
      <c r="D670" s="69" t="s">
        <v>1796</v>
      </c>
    </row>
    <row r="671" spans="1:4" ht="16.5" customHeight="1">
      <c r="A671" s="1829"/>
      <c r="B671" s="374" t="s">
        <v>1802</v>
      </c>
      <c r="C671" s="375" t="s">
        <v>1799</v>
      </c>
      <c r="D671" s="69" t="s">
        <v>1796</v>
      </c>
    </row>
    <row r="672" spans="1:4" ht="16.5" customHeight="1">
      <c r="A672" s="1830" t="s">
        <v>441</v>
      </c>
      <c r="B672" s="376" t="s">
        <v>1884</v>
      </c>
      <c r="C672" s="377" t="s">
        <v>1086</v>
      </c>
      <c r="D672" s="69" t="s">
        <v>1796</v>
      </c>
    </row>
    <row r="673" spans="1:5" ht="16.5" customHeight="1">
      <c r="A673" s="1831"/>
      <c r="B673" s="378" t="s">
        <v>1803</v>
      </c>
      <c r="C673" s="373" t="s">
        <v>1095</v>
      </c>
      <c r="D673" s="69" t="s">
        <v>1796</v>
      </c>
    </row>
    <row r="674" spans="1:5" ht="16.5" customHeight="1">
      <c r="A674" s="1831"/>
      <c r="B674" s="378" t="s">
        <v>1804</v>
      </c>
      <c r="C674" s="373" t="s">
        <v>1799</v>
      </c>
      <c r="D674" s="69" t="s">
        <v>1796</v>
      </c>
    </row>
    <row r="675" spans="1:5" ht="16.5" customHeight="1">
      <c r="A675" s="1832"/>
      <c r="B675" s="532" t="s">
        <v>737</v>
      </c>
      <c r="C675" s="533"/>
      <c r="D675" s="69" t="s">
        <v>1805</v>
      </c>
    </row>
    <row r="676" spans="1:5" ht="16.5" customHeight="1">
      <c r="A676" s="1833"/>
      <c r="B676" s="374" t="s">
        <v>738</v>
      </c>
      <c r="C676" s="375"/>
      <c r="D676" s="69" t="s">
        <v>1806</v>
      </c>
    </row>
    <row r="677" spans="1:5" ht="16.5" customHeight="1">
      <c r="A677" s="1834" t="s">
        <v>462</v>
      </c>
      <c r="B677" s="376" t="s">
        <v>1184</v>
      </c>
      <c r="C677" s="377" t="s">
        <v>1086</v>
      </c>
      <c r="D677" s="69" t="s">
        <v>1796</v>
      </c>
    </row>
    <row r="678" spans="1:5" ht="16.5" customHeight="1">
      <c r="A678" s="1835"/>
      <c r="B678" s="378" t="s">
        <v>1807</v>
      </c>
      <c r="C678" s="373" t="s">
        <v>1095</v>
      </c>
      <c r="D678" s="69" t="s">
        <v>1796</v>
      </c>
    </row>
    <row r="679" spans="1:5" ht="16.5" customHeight="1">
      <c r="A679" s="1836"/>
      <c r="B679" s="374" t="s">
        <v>1808</v>
      </c>
      <c r="C679" s="375" t="s">
        <v>1799</v>
      </c>
      <c r="D679" s="69" t="s">
        <v>1796</v>
      </c>
    </row>
    <row r="680" spans="1:5" ht="16.5" customHeight="1">
      <c r="A680" s="1837" t="s">
        <v>476</v>
      </c>
      <c r="B680" s="394" t="s">
        <v>1086</v>
      </c>
      <c r="C680" s="533" t="s">
        <v>1086</v>
      </c>
      <c r="D680" s="69" t="s">
        <v>1796</v>
      </c>
    </row>
    <row r="681" spans="1:5" ht="16.5" customHeight="1">
      <c r="A681" s="1838"/>
      <c r="B681" s="91" t="s">
        <v>1095</v>
      </c>
      <c r="C681" s="373" t="s">
        <v>1095</v>
      </c>
      <c r="D681" s="69" t="s">
        <v>1796</v>
      </c>
    </row>
    <row r="682" spans="1:5" ht="16.5" customHeight="1">
      <c r="A682" s="1839"/>
      <c r="B682" s="397" t="s">
        <v>1799</v>
      </c>
      <c r="C682" s="398" t="s">
        <v>1799</v>
      </c>
      <c r="D682" s="69" t="s">
        <v>1796</v>
      </c>
    </row>
    <row r="684" spans="1:5" ht="16.5" customHeight="1" thickBot="1"/>
    <row r="685" spans="1:5" ht="16.5" customHeight="1" thickBot="1">
      <c r="A685" s="1920" t="s">
        <v>501</v>
      </c>
      <c r="B685" s="1921"/>
      <c r="C685" s="1921"/>
      <c r="D685" s="1921"/>
      <c r="E685" s="1922"/>
    </row>
    <row r="686" spans="1:5" ht="16.5" customHeight="1">
      <c r="A686" s="1819" t="s">
        <v>369</v>
      </c>
      <c r="B686" s="139" t="s">
        <v>510</v>
      </c>
      <c r="C686" s="140" t="s">
        <v>511</v>
      </c>
      <c r="D686" s="141" t="s">
        <v>102</v>
      </c>
      <c r="E686" s="202" t="s">
        <v>512</v>
      </c>
    </row>
    <row r="687" spans="1:5" ht="16.5" customHeight="1" thickBot="1">
      <c r="A687" s="1820"/>
      <c r="B687" s="142" t="s">
        <v>512</v>
      </c>
      <c r="C687" s="143" t="s">
        <v>517</v>
      </c>
      <c r="D687" s="144" t="s">
        <v>103</v>
      </c>
      <c r="E687" s="203" t="s">
        <v>510</v>
      </c>
    </row>
    <row r="688" spans="1:5" ht="16.5" customHeight="1" thickTop="1">
      <c r="A688" s="1821" t="s">
        <v>429</v>
      </c>
      <c r="B688" s="145" t="s">
        <v>511</v>
      </c>
      <c r="C688" s="146" t="s">
        <v>511</v>
      </c>
      <c r="D688" s="141" t="s">
        <v>102</v>
      </c>
      <c r="E688" s="204" t="s">
        <v>517</v>
      </c>
    </row>
    <row r="689" spans="1:5" ht="16.5" customHeight="1">
      <c r="A689" s="1822"/>
      <c r="B689" s="147" t="s">
        <v>517</v>
      </c>
      <c r="C689" s="148" t="s">
        <v>517</v>
      </c>
      <c r="D689" s="149" t="s">
        <v>103</v>
      </c>
      <c r="E689" s="205" t="s">
        <v>511</v>
      </c>
    </row>
    <row r="690" spans="1:5" ht="16.5" customHeight="1">
      <c r="A690" s="1822"/>
      <c r="B690" s="147"/>
      <c r="C690" s="148" t="s">
        <v>511</v>
      </c>
      <c r="D690" s="149" t="s">
        <v>102</v>
      </c>
      <c r="E690" s="204" t="s">
        <v>517</v>
      </c>
    </row>
    <row r="691" spans="1:5" ht="16.5" customHeight="1">
      <c r="A691" s="1822"/>
      <c r="B691" s="147"/>
      <c r="C691" s="148" t="s">
        <v>517</v>
      </c>
      <c r="D691" s="149" t="s">
        <v>103</v>
      </c>
      <c r="E691" s="205" t="s">
        <v>511</v>
      </c>
    </row>
    <row r="692" spans="1:5" ht="16.5" customHeight="1" thickBot="1">
      <c r="A692" s="1823"/>
      <c r="B692" s="150"/>
      <c r="C692" s="151" t="s">
        <v>26</v>
      </c>
      <c r="D692" s="152" t="str">
        <f>IF(Information!$AW$6="","",VLOOKUP(Information!$AW$6,APPLICANTGENDER,2,0))</f>
        <v>□</v>
      </c>
      <c r="E692" s="206"/>
    </row>
    <row r="693" spans="1:5" ht="16.5" customHeight="1" thickTop="1">
      <c r="A693" s="1866" t="s">
        <v>441</v>
      </c>
      <c r="B693" s="685" t="s">
        <v>566</v>
      </c>
      <c r="C693" s="146" t="s">
        <v>511</v>
      </c>
      <c r="D693" s="141" t="s">
        <v>102</v>
      </c>
      <c r="E693" s="680" t="s">
        <v>567</v>
      </c>
    </row>
    <row r="694" spans="1:5" ht="16.5" customHeight="1">
      <c r="A694" s="1867"/>
      <c r="B694" s="156" t="s">
        <v>1885</v>
      </c>
      <c r="C694" s="157" t="s">
        <v>1355</v>
      </c>
      <c r="D694" s="141" t="s">
        <v>102</v>
      </c>
      <c r="E694" s="697" t="s">
        <v>567</v>
      </c>
    </row>
    <row r="695" spans="1:5" ht="16.5" customHeight="1">
      <c r="A695" s="1867"/>
      <c r="B695" s="684" t="s">
        <v>567</v>
      </c>
      <c r="C695" s="148" t="s">
        <v>517</v>
      </c>
      <c r="D695" s="149" t="s">
        <v>103</v>
      </c>
      <c r="E695" s="681" t="s">
        <v>566</v>
      </c>
    </row>
    <row r="696" spans="1:5" ht="16.5" customHeight="1">
      <c r="A696" s="1867"/>
      <c r="B696" s="679" t="s">
        <v>1394</v>
      </c>
      <c r="C696" s="687" t="s">
        <v>1380</v>
      </c>
      <c r="D696" s="688" t="s">
        <v>103</v>
      </c>
      <c r="E696" s="682" t="s">
        <v>1393</v>
      </c>
    </row>
    <row r="697" spans="1:5" ht="16.5" customHeight="1">
      <c r="A697" s="1867"/>
      <c r="B697" s="679" t="s">
        <v>1393</v>
      </c>
      <c r="C697" s="687" t="s">
        <v>936</v>
      </c>
      <c r="D697" s="688" t="s">
        <v>102</v>
      </c>
      <c r="E697" s="682" t="s">
        <v>1394</v>
      </c>
    </row>
    <row r="698" spans="1:5" ht="16.5" customHeight="1">
      <c r="A698" s="1867"/>
      <c r="B698" s="696" t="s">
        <v>1387</v>
      </c>
      <c r="C698" s="695" t="s">
        <v>916</v>
      </c>
      <c r="D698" s="688" t="s">
        <v>102</v>
      </c>
      <c r="E698" s="682" t="s">
        <v>566</v>
      </c>
    </row>
    <row r="699" spans="1:5" ht="16.5" customHeight="1">
      <c r="A699" s="1867"/>
      <c r="B699" s="696" t="s">
        <v>1390</v>
      </c>
      <c r="C699" s="695" t="s">
        <v>1227</v>
      </c>
      <c r="D699" s="688" t="s">
        <v>103</v>
      </c>
      <c r="E699" s="682" t="s">
        <v>566</v>
      </c>
    </row>
    <row r="700" spans="1:5" ht="16.5" customHeight="1" thickBot="1">
      <c r="A700" s="1868"/>
      <c r="B700" s="686" t="s">
        <v>576</v>
      </c>
      <c r="C700" s="151" t="s">
        <v>577</v>
      </c>
      <c r="D700" s="152" t="str">
        <f>IF(APPLICANTGENDERSELECT="Male","男","女")</f>
        <v>女</v>
      </c>
      <c r="E700" s="683" t="s">
        <v>566</v>
      </c>
    </row>
    <row r="701" spans="1:5" ht="16.5" customHeight="1" thickTop="1">
      <c r="A701" s="1869" t="s">
        <v>462</v>
      </c>
      <c r="B701" s="154" t="s">
        <v>579</v>
      </c>
      <c r="C701" s="146" t="s">
        <v>511</v>
      </c>
      <c r="D701" s="141" t="s">
        <v>102</v>
      </c>
      <c r="E701" s="207" t="str">
        <f>B702</f>
        <v>모</v>
      </c>
    </row>
    <row r="702" spans="1:5" ht="16.5" customHeight="1" thickBot="1">
      <c r="A702" s="1870"/>
      <c r="B702" s="155" t="s">
        <v>583</v>
      </c>
      <c r="C702" s="151" t="s">
        <v>517</v>
      </c>
      <c r="D702" s="144" t="s">
        <v>103</v>
      </c>
      <c r="E702" s="206" t="str">
        <f>B701</f>
        <v>부</v>
      </c>
    </row>
    <row r="703" spans="1:5" ht="16.5" customHeight="1" thickTop="1">
      <c r="A703" s="1871" t="s">
        <v>476</v>
      </c>
      <c r="B703" s="156" t="s">
        <v>511</v>
      </c>
      <c r="C703" s="157" t="s">
        <v>511</v>
      </c>
      <c r="D703" s="141" t="s">
        <v>102</v>
      </c>
      <c r="E703" s="207" t="str">
        <f>B704</f>
        <v>母</v>
      </c>
    </row>
    <row r="704" spans="1:5" ht="16.5" customHeight="1" thickBot="1">
      <c r="A704" s="1872"/>
      <c r="B704" s="158" t="s">
        <v>517</v>
      </c>
      <c r="C704" s="159" t="s">
        <v>517</v>
      </c>
      <c r="D704" s="160" t="s">
        <v>103</v>
      </c>
      <c r="E704" s="208" t="str">
        <f>B703</f>
        <v>父</v>
      </c>
    </row>
  </sheetData>
  <sheetProtection algorithmName="SHA-512" hashValue="Uo3gk1ZgaZ+xH2YS8GVdGJV/Adlq11Ctp6MuurmRQE5tonlBz1EgGu4FzWZOdIMjMIHN1/BCYoc+mmXUWHwQ2Q==" saltValue="jGOs6FIrlAmyUYOM3KhEbg==" spinCount="100000" sheet="1" objects="1" scenarios="1" selectLockedCells="1"/>
  <sortState xmlns:xlrd2="http://schemas.microsoft.com/office/spreadsheetml/2017/richdata2" ref="B649:C654">
    <sortCondition ref="B648:B654"/>
  </sortState>
  <mergeCells count="121">
    <mergeCell ref="E2:F2"/>
    <mergeCell ref="G2:I2"/>
    <mergeCell ref="O7:AV7"/>
    <mergeCell ref="O14:R14"/>
    <mergeCell ref="S14:U14"/>
    <mergeCell ref="V14:Z14"/>
    <mergeCell ref="O21:AJ21"/>
    <mergeCell ref="O28:U28"/>
    <mergeCell ref="O35:W35"/>
    <mergeCell ref="E3:E4"/>
    <mergeCell ref="E5:E10"/>
    <mergeCell ref="E23:E25"/>
    <mergeCell ref="E26:E28"/>
    <mergeCell ref="E29:E31"/>
    <mergeCell ref="E32:E34"/>
    <mergeCell ref="E35:E37"/>
    <mergeCell ref="A685:E685"/>
    <mergeCell ref="O42:Z42"/>
    <mergeCell ref="O56:CT56"/>
    <mergeCell ref="O63:AB63"/>
    <mergeCell ref="A70:C70"/>
    <mergeCell ref="O71:AF71"/>
    <mergeCell ref="V80:W80"/>
    <mergeCell ref="A109:C109"/>
    <mergeCell ref="A122:C122"/>
    <mergeCell ref="A48:A52"/>
    <mergeCell ref="A53:A57"/>
    <mergeCell ref="A58:A62"/>
    <mergeCell ref="A63:A67"/>
    <mergeCell ref="A71:A72"/>
    <mergeCell ref="A73:A74"/>
    <mergeCell ref="A75:A76"/>
    <mergeCell ref="A77:A78"/>
    <mergeCell ref="A79:A80"/>
    <mergeCell ref="A110:A111"/>
    <mergeCell ref="A112:A113"/>
    <mergeCell ref="A114:A115"/>
    <mergeCell ref="A116:A117"/>
    <mergeCell ref="A118:A119"/>
    <mergeCell ref="T82:T83"/>
    <mergeCell ref="A206:C206"/>
    <mergeCell ref="E206:H206"/>
    <mergeCell ref="A291:C291"/>
    <mergeCell ref="E291:G291"/>
    <mergeCell ref="A491:C491"/>
    <mergeCell ref="A640:C640"/>
    <mergeCell ref="A665:C665"/>
    <mergeCell ref="A195:A203"/>
    <mergeCell ref="A207:A228"/>
    <mergeCell ref="A229:A244"/>
    <mergeCell ref="A245:A262"/>
    <mergeCell ref="A263:A272"/>
    <mergeCell ref="A273:A288"/>
    <mergeCell ref="A292:A324"/>
    <mergeCell ref="A325:A392"/>
    <mergeCell ref="A393:A426"/>
    <mergeCell ref="A427:A457"/>
    <mergeCell ref="A458:A488"/>
    <mergeCell ref="A492:A511"/>
    <mergeCell ref="A512:A543"/>
    <mergeCell ref="A544:A575"/>
    <mergeCell ref="A576:A606"/>
    <mergeCell ref="A607:A637"/>
    <mergeCell ref="A641:A644"/>
    <mergeCell ref="A3:A7"/>
    <mergeCell ref="A8:A12"/>
    <mergeCell ref="A13:A17"/>
    <mergeCell ref="A18:A22"/>
    <mergeCell ref="A23:A27"/>
    <mergeCell ref="A28:A32"/>
    <mergeCell ref="A33:A37"/>
    <mergeCell ref="A38:A42"/>
    <mergeCell ref="A43:A47"/>
    <mergeCell ref="A693:A700"/>
    <mergeCell ref="A701:A702"/>
    <mergeCell ref="A703:A704"/>
    <mergeCell ref="E56:E179"/>
    <mergeCell ref="E189:E191"/>
    <mergeCell ref="E192:E194"/>
    <mergeCell ref="E195:E197"/>
    <mergeCell ref="E198:E200"/>
    <mergeCell ref="E201:E203"/>
    <mergeCell ref="E207:E222"/>
    <mergeCell ref="E223:E234"/>
    <mergeCell ref="E235:E248"/>
    <mergeCell ref="E249:E258"/>
    <mergeCell ref="E259:E270"/>
    <mergeCell ref="E273:E277"/>
    <mergeCell ref="E292:E293"/>
    <mergeCell ref="E294:E295"/>
    <mergeCell ref="E296:E299"/>
    <mergeCell ref="E300:E301"/>
    <mergeCell ref="E302:E303"/>
    <mergeCell ref="A645:A648"/>
    <mergeCell ref="A649:A654"/>
    <mergeCell ref="A655:A658"/>
    <mergeCell ref="A659:A662"/>
    <mergeCell ref="R81:R164"/>
    <mergeCell ref="S85:S100"/>
    <mergeCell ref="S101:S116"/>
    <mergeCell ref="S117:S132"/>
    <mergeCell ref="S133:S148"/>
    <mergeCell ref="S149:S164"/>
    <mergeCell ref="E188:G188"/>
    <mergeCell ref="A686:A687"/>
    <mergeCell ref="A688:A692"/>
    <mergeCell ref="A666:A668"/>
    <mergeCell ref="A669:A671"/>
    <mergeCell ref="A672:A676"/>
    <mergeCell ref="A677:A679"/>
    <mergeCell ref="A680:A682"/>
    <mergeCell ref="A123:A128"/>
    <mergeCell ref="A129:A136"/>
    <mergeCell ref="A137:A143"/>
    <mergeCell ref="A144:A148"/>
    <mergeCell ref="A149:A155"/>
    <mergeCell ref="A160:A169"/>
    <mergeCell ref="A170:A175"/>
    <mergeCell ref="A176:A185"/>
    <mergeCell ref="A186:A194"/>
    <mergeCell ref="A159:C159"/>
  </mergeCells>
  <phoneticPr fontId="96"/>
  <pageMargins left="0.69930555555555596" right="0.69930555555555596"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3:AO139"/>
  <sheetViews>
    <sheetView topLeftCell="A40" workbookViewId="0">
      <selection activeCell="E4" sqref="E4"/>
    </sheetView>
  </sheetViews>
  <sheetFormatPr defaultColWidth="9" defaultRowHeight="15"/>
  <cols>
    <col min="2" max="2" width="5.85546875" customWidth="1"/>
    <col min="3" max="3" width="5.42578125" customWidth="1"/>
    <col min="4" max="4" width="11.85546875" customWidth="1"/>
    <col min="5" max="5" width="9.42578125" customWidth="1"/>
    <col min="6" max="6" width="8.28515625" customWidth="1"/>
    <col min="8" max="8" width="10.28515625" customWidth="1"/>
    <col min="9" max="9" width="15.42578125" customWidth="1"/>
    <col min="10" max="10" width="9.7109375" customWidth="1"/>
    <col min="11" max="11" width="12.42578125" customWidth="1"/>
    <col min="12" max="12" width="10.42578125" customWidth="1"/>
    <col min="13" max="14" width="2.42578125" customWidth="1"/>
    <col min="15" max="15" width="9.7109375" customWidth="1"/>
    <col min="16" max="16" width="7.42578125" customWidth="1"/>
    <col min="17" max="17" width="15.42578125" customWidth="1"/>
    <col min="20" max="20" width="4" customWidth="1"/>
    <col min="21" max="21" width="5.42578125" customWidth="1"/>
    <col min="22" max="22" width="11" customWidth="1"/>
    <col min="23" max="24" width="3" customWidth="1"/>
    <col min="25" max="25" width="11.85546875" customWidth="1"/>
    <col min="26" max="26" width="2.7109375" customWidth="1"/>
    <col min="27" max="27" width="8.28515625" customWidth="1"/>
    <col min="29" max="29" width="16.5703125" customWidth="1"/>
    <col min="30" max="30" width="15.42578125" customWidth="1"/>
    <col min="32" max="32" width="12.42578125" customWidth="1"/>
    <col min="33" max="33" width="3" customWidth="1"/>
    <col min="34" max="35" width="2.42578125" customWidth="1"/>
    <col min="38" max="38" width="15.42578125" customWidth="1"/>
    <col min="39" max="39" width="4.5703125" customWidth="1"/>
    <col min="40" max="40" width="6.42578125" customWidth="1"/>
    <col min="41" max="41" width="9.42578125" customWidth="1"/>
  </cols>
  <sheetData>
    <row r="3" spans="2:29">
      <c r="B3" s="1"/>
      <c r="C3" s="2036" t="s">
        <v>24</v>
      </c>
      <c r="D3" s="2036"/>
      <c r="E3" s="2" t="str">
        <f>IF(APNATION="","",VLOOKUP(APNATION,STUDENTINFO,6,0))</f>
        <v>Gender</v>
      </c>
      <c r="F3" s="2"/>
      <c r="H3" s="3"/>
      <c r="I3" s="31" t="s">
        <v>1809</v>
      </c>
      <c r="J3" s="31" t="s">
        <v>1810</v>
      </c>
      <c r="K3" s="31" t="s">
        <v>890</v>
      </c>
      <c r="L3" s="31"/>
      <c r="M3" s="32">
        <v>1</v>
      </c>
      <c r="N3" s="32">
        <v>2</v>
      </c>
      <c r="O3" s="32">
        <v>3</v>
      </c>
      <c r="P3" s="32">
        <v>4</v>
      </c>
      <c r="Q3" s="3"/>
      <c r="R3" s="3"/>
      <c r="S3" s="3"/>
      <c r="T3" s="3"/>
      <c r="U3" s="3"/>
      <c r="V3" s="3"/>
      <c r="W3" s="3"/>
      <c r="X3" s="3"/>
      <c r="Y3" s="3"/>
      <c r="Z3" s="3"/>
      <c r="AA3" s="3"/>
      <c r="AB3" s="3"/>
      <c r="AC3" s="3"/>
    </row>
    <row r="4" spans="2:29" ht="21">
      <c r="B4" s="2046" t="s">
        <v>866</v>
      </c>
      <c r="C4" s="2030" t="str">
        <f>IF(ISBLANK(SPONSORDOB),"",DATEDIF(SPONSORDOB,Information!$Q$2,"Y"))</f>
        <v/>
      </c>
      <c r="D4" s="2030"/>
      <c r="E4" s="4" t="e">
        <f>IF(FAMILY1RELATIONSHIP="","",VLOOKUP(FAMILY1RELATIONSHIP,FAMILYCONVERSION,3,0))</f>
        <v>#N/A</v>
      </c>
      <c r="F4" s="5" t="e">
        <f>IF(F5="","",VLOOKUP(F5,YESNOTRANSLATION,2,0))</f>
        <v>#N/A</v>
      </c>
      <c r="H4" s="6" t="s">
        <v>1811</v>
      </c>
      <c r="I4" s="33" t="str">
        <f>IF(STUDENTADDRESS1="","",""&amp;IF(STUDENTADDRESS2="",STUDENTADDRESS1,"戸籍住所："&amp;STUDENTADDRESS1))</f>
        <v/>
      </c>
      <c r="J4" s="33" t="str">
        <f>IF(STUDENTADDRESS2="","",""&amp;IF(STUDENTADDRESS1="",STUDENTADDRESS2,"現住所："&amp;STUDENTADDRESS2))</f>
        <v/>
      </c>
      <c r="K4" s="34" t="str">
        <f t="shared" ref="K4:K13" si="0">I4&amp;"
"&amp;J4</f>
        <v xml:space="preserve">
</v>
      </c>
      <c r="L4" s="35" t="s">
        <v>1811</v>
      </c>
      <c r="M4" s="36" t="str">
        <f>IF(STUDENTADDRESS1="","",IF(SPONSORADDRESS1=STUDENTADDRESS1,"YES","NO"))</f>
        <v/>
      </c>
      <c r="N4" s="36" t="str">
        <f>IF(STUDENTADDRESS2="","",IF(SPONSORADDRESS2=STUDENTADDRESS2,"YES","NO"))</f>
        <v/>
      </c>
      <c r="O4" s="36" t="str">
        <f>IF(SPONSORADDRESS2="","",IF(SPONSORADDRESS2=STUDENTADDRESS1,"YES","NO"))</f>
        <v/>
      </c>
      <c r="P4" s="36" t="str">
        <f>IF(STUDENTADDRESS2="","",IF(SPONSORADDRESS1=STUDENTADDRESS2,"YES","NO"))</f>
        <v/>
      </c>
      <c r="Q4" s="16" t="str">
        <f t="shared" ref="Q4:Q13" si="1">M4&amp;N4&amp;O4&amp;P4</f>
        <v/>
      </c>
      <c r="R4" s="35">
        <f t="shared" ref="R4:R13" si="2">IF(Q4="YESNOYESNO",2,0)</f>
        <v>0</v>
      </c>
      <c r="S4" s="35">
        <f t="shared" ref="S4:S13" si="3">IF(Q4="YESYES",2,0)</f>
        <v>0</v>
      </c>
      <c r="T4" s="35">
        <f t="shared" ref="T4:T13" si="4">IF(Q4="YES",2,0)</f>
        <v>0</v>
      </c>
      <c r="U4" s="35">
        <f t="shared" ref="U4:U13" si="5">IF(Q4="YESYESNONO",0,0)</f>
        <v>0</v>
      </c>
      <c r="V4" s="35">
        <f t="shared" ref="V4:V13" si="6">IF(Q4="NOYESYESNO",2,0)</f>
        <v>0</v>
      </c>
      <c r="W4" s="35">
        <f t="shared" ref="W4:W13" si="7">IF(Q4="NONONONO",2,0)</f>
        <v>0</v>
      </c>
      <c r="X4" s="35">
        <f t="shared" ref="X4:X13" si="8">IF(Q4="NONONO",2,0)</f>
        <v>0</v>
      </c>
      <c r="Y4" s="35">
        <f t="shared" ref="Y4:Y13" si="9">IF(Q4="YESNONOYES",2,0)</f>
        <v>0</v>
      </c>
      <c r="Z4" s="35">
        <f t="shared" ref="Z4:Z13" si="10">IF(Q4="NONOYESNO",2,0)</f>
        <v>0</v>
      </c>
      <c r="AA4" s="35" t="str">
        <f t="shared" ref="AA4:AA13" si="11">IF(R4+S4+T4+U4+V4+W4+X4+Y4+Z4=2,$G$27,$F$27)</f>
        <v>■</v>
      </c>
      <c r="AB4" s="3"/>
      <c r="AC4" s="3"/>
    </row>
    <row r="5" spans="2:29" ht="21">
      <c r="B5" s="2046"/>
      <c r="C5" s="2030"/>
      <c r="D5" s="2030"/>
      <c r="E5" s="4" t="e">
        <f>IF(FAMILY1RELATIONSHIP="","",VLOOKUP(FAMILY1RELATIONSHIP,FAMILYCONVERSION,2,0))</f>
        <v>#N/A</v>
      </c>
      <c r="F5" s="5" t="str">
        <f>IFERROR(IF(STUDENTADDRESS1=SPONSORADDRESS1,$C$26,$D$26),"")</f>
        <v>Y</v>
      </c>
      <c r="G5" s="7"/>
      <c r="H5" s="6" t="s">
        <v>9</v>
      </c>
      <c r="I5" s="33" t="str">
        <f>IF(SPONSORADDRESS1="","",""&amp;IF(SPONSORADDRESS2="",SPONSORADDRESS1,"戸籍住所："&amp;SPONSORADDRESS1))</f>
        <v/>
      </c>
      <c r="J5" s="33" t="str">
        <f>IF(SPONSORADDRESS2="","",""&amp;IF(SPONSORADDRESS1="",SPONSORADDRESS2,"現住所："&amp;SPONSORADDRESS2))</f>
        <v/>
      </c>
      <c r="K5" s="34" t="str">
        <f t="shared" si="0"/>
        <v xml:space="preserve">
</v>
      </c>
      <c r="L5" s="35" t="s">
        <v>9</v>
      </c>
      <c r="M5" s="36"/>
      <c r="N5" s="36"/>
      <c r="O5" s="36"/>
      <c r="P5" s="36"/>
      <c r="Q5" s="16" t="str">
        <f t="shared" si="1"/>
        <v/>
      </c>
      <c r="R5" s="35">
        <f t="shared" si="2"/>
        <v>0</v>
      </c>
      <c r="S5" s="35">
        <f t="shared" si="3"/>
        <v>0</v>
      </c>
      <c r="T5" s="35">
        <f t="shared" si="4"/>
        <v>0</v>
      </c>
      <c r="U5" s="35">
        <f t="shared" si="5"/>
        <v>0</v>
      </c>
      <c r="V5" s="35">
        <f t="shared" si="6"/>
        <v>0</v>
      </c>
      <c r="W5" s="35">
        <f t="shared" si="7"/>
        <v>0</v>
      </c>
      <c r="X5" s="35">
        <f t="shared" si="8"/>
        <v>0</v>
      </c>
      <c r="Y5" s="35">
        <f t="shared" si="9"/>
        <v>0</v>
      </c>
      <c r="Z5" s="35">
        <f t="shared" si="10"/>
        <v>0</v>
      </c>
      <c r="AA5" s="35" t="str">
        <f t="shared" si="11"/>
        <v>■</v>
      </c>
      <c r="AB5" s="3"/>
      <c r="AC5" s="3"/>
    </row>
    <row r="6" spans="2:29" ht="21">
      <c r="B6" s="2046" t="s">
        <v>1812</v>
      </c>
      <c r="C6" s="2029" t="str">
        <f>IFERROR(IF(ISBLANK(FAMILY2DOB),"",DATEDIF(FAMILY2DOB,Information!$Q$2,"Y")),"")</f>
        <v/>
      </c>
      <c r="D6" s="2029"/>
      <c r="E6" s="8" t="str">
        <f>IF(FAMILY2RELATIONSHIP="","",VLOOKUP(FAMILY2RELATIONSHIP,FAMILYCONVERSION,3,0))</f>
        <v/>
      </c>
      <c r="F6" s="9" t="e">
        <f>IF(F7="","",VLOOKUP(F7,YESNOTRANSLATION,2,0))</f>
        <v>#N/A</v>
      </c>
      <c r="G6" s="7"/>
      <c r="H6" s="6" t="s">
        <v>1813</v>
      </c>
      <c r="I6" s="33" t="str">
        <f>IF(FAMILY2ADDRESS1="","",""&amp;IF(FAMILY2ADDRESS2="",FAMILY2ADDRESS1,"戸籍住所："&amp;FAMILY2ADDRESS1))</f>
        <v/>
      </c>
      <c r="J6" s="33" t="str">
        <f>IF(FAMILY2ADDRESS2="","",""&amp;IF(FAMILY2ADDRESS1="",FAMILY2ADDRESS2,"現住所："&amp;FAMILY2ADDRESS2))</f>
        <v/>
      </c>
      <c r="K6" s="34" t="str">
        <f t="shared" si="0"/>
        <v xml:space="preserve">
</v>
      </c>
      <c r="L6" s="35" t="s">
        <v>1813</v>
      </c>
      <c r="M6" s="36" t="str">
        <f>IF(FAMILY2ADDRESS1="","",IF(SPONSORADDRESS1=FAMILY2ADDRESS1,"YES","NO"))</f>
        <v/>
      </c>
      <c r="N6" s="36" t="str">
        <f>IF(FAMILY2ADDRESS2="","",IF(SPONSORADDRESS2=FAMILY2ADDRESS2,"YES","NO"))</f>
        <v/>
      </c>
      <c r="O6" s="36" t="str">
        <f>IF(SPONSORADDRESS2="","",IF(SPONSORADDRESS2=FAMILY2ADDRESS1,"YES","NO"))</f>
        <v/>
      </c>
      <c r="P6" s="36" t="str">
        <f>IF(FAMILY2ADDRESS2="","",IF(SPONSORADDRESS1=FAMILY2ADDRESS2,"YES","NO"))</f>
        <v/>
      </c>
      <c r="Q6" s="16" t="str">
        <f t="shared" si="1"/>
        <v/>
      </c>
      <c r="R6" s="35">
        <f t="shared" si="2"/>
        <v>0</v>
      </c>
      <c r="S6" s="35">
        <f t="shared" si="3"/>
        <v>0</v>
      </c>
      <c r="T6" s="35">
        <f t="shared" si="4"/>
        <v>0</v>
      </c>
      <c r="U6" s="35">
        <f t="shared" si="5"/>
        <v>0</v>
      </c>
      <c r="V6" s="35">
        <f t="shared" si="6"/>
        <v>0</v>
      </c>
      <c r="W6" s="35">
        <f t="shared" si="7"/>
        <v>0</v>
      </c>
      <c r="X6" s="35">
        <f t="shared" si="8"/>
        <v>0</v>
      </c>
      <c r="Y6" s="35">
        <f t="shared" si="9"/>
        <v>0</v>
      </c>
      <c r="Z6" s="35">
        <f t="shared" si="10"/>
        <v>0</v>
      </c>
      <c r="AA6" s="35" t="str">
        <f t="shared" si="11"/>
        <v>■</v>
      </c>
      <c r="AB6" s="3"/>
      <c r="AC6" s="3"/>
    </row>
    <row r="7" spans="2:29" ht="21">
      <c r="B7" s="2046"/>
      <c r="C7" s="2030"/>
      <c r="D7" s="2030"/>
      <c r="E7" s="4" t="str">
        <f>IF(FAMILY2RELATIONSHIP="","",VLOOKUP(FAMILY2RELATIONSHIP,FAMILYCONVERSION,2,0))</f>
        <v/>
      </c>
      <c r="F7" s="5" t="str">
        <f>IFERROR(IF(STUDENTADDRESS1=FAMILY2ADDRESS1,$C$26,$D$26),"")</f>
        <v>Y</v>
      </c>
      <c r="G7" s="7"/>
      <c r="H7" s="6" t="s">
        <v>1814</v>
      </c>
      <c r="I7" s="33" t="str">
        <f>IF(FAMILY4ADDRESS1="","",""&amp;IF(FAMILY4ADDRESS2="",FAMILY4ADDRESS1,"戸籍住所："&amp;FAMILY4ADDRESS1))</f>
        <v/>
      </c>
      <c r="J7" s="33" t="str">
        <f>IF(FAMILY4ADDRESS2="","",""&amp;IF(FAMILY4ADDRESS1="",FAMILY4ADDRESS2,"現住所："&amp;FAMILY4ADDRESS2))</f>
        <v/>
      </c>
      <c r="K7" s="34" t="str">
        <f t="shared" si="0"/>
        <v xml:space="preserve">
</v>
      </c>
      <c r="L7" s="35" t="s">
        <v>1814</v>
      </c>
      <c r="M7" s="36" t="str">
        <f>IF(FAMILY4ADDRESS1="","",IF(SPONSORADDRESS1=FAMILY4ADDRESS1,"YES","NO"))</f>
        <v/>
      </c>
      <c r="N7" s="36" t="str">
        <f>IF(FAMILY4ADDRESS2="","",IF(SPONSORADDRESS2=FAMILY4ADDRESS2,"YES","NO"))</f>
        <v/>
      </c>
      <c r="O7" s="36" t="str">
        <f>IF(SPONSORADDRESS2="","",IF(SPONSORADDRESS2=FAMILY4ADDRESS1,"YES","NO"))</f>
        <v/>
      </c>
      <c r="P7" s="36" t="str">
        <f>IF(FAMILY4ADDRESS2="","",IF(SPONSORADDRESS1=FAMILY4ADDRESS2,"YES","NO"))</f>
        <v/>
      </c>
      <c r="Q7" s="16" t="str">
        <f t="shared" si="1"/>
        <v/>
      </c>
      <c r="R7" s="35">
        <f t="shared" si="2"/>
        <v>0</v>
      </c>
      <c r="S7" s="35">
        <f t="shared" si="3"/>
        <v>0</v>
      </c>
      <c r="T7" s="35">
        <f t="shared" si="4"/>
        <v>0</v>
      </c>
      <c r="U7" s="35">
        <f t="shared" si="5"/>
        <v>0</v>
      </c>
      <c r="V7" s="35">
        <f t="shared" si="6"/>
        <v>0</v>
      </c>
      <c r="W7" s="35">
        <f t="shared" si="7"/>
        <v>0</v>
      </c>
      <c r="X7" s="35">
        <f t="shared" si="8"/>
        <v>0</v>
      </c>
      <c r="Y7" s="35">
        <f t="shared" si="9"/>
        <v>0</v>
      </c>
      <c r="Z7" s="35">
        <f t="shared" si="10"/>
        <v>0</v>
      </c>
      <c r="AA7" s="35" t="str">
        <f t="shared" si="11"/>
        <v>■</v>
      </c>
      <c r="AB7" s="3"/>
      <c r="AC7" s="3"/>
    </row>
    <row r="8" spans="2:29" ht="21">
      <c r="B8" s="2046" t="s">
        <v>1815</v>
      </c>
      <c r="C8" s="2029" t="str">
        <f>IFERROR(IF(ISBLANK(STUDENTDOB),"",DATEDIF(STUDENTDOB,Information!$Q$2,"Y")),"")</f>
        <v/>
      </c>
      <c r="D8" s="2029"/>
      <c r="E8" s="10"/>
      <c r="F8" s="10"/>
      <c r="G8" s="7"/>
      <c r="H8" s="6" t="s">
        <v>1816</v>
      </c>
      <c r="I8" s="33" t="str">
        <f>IF(FAMILY5ADDRESS1="","",""&amp;IF(FAMILY5ADDRESS2="",FAMILY5ADDRESS1,"戸籍住所："&amp;FAMILY5ADDRESS1))</f>
        <v/>
      </c>
      <c r="J8" s="33" t="str">
        <f>IF(FAMILY5ADDRESS2="","",""&amp;IF(FAMILY5ADDRESS1="",FAMILY5ADDRESS2,"現住所："&amp;FAMILY5ADDRESS2))</f>
        <v/>
      </c>
      <c r="K8" s="34" t="str">
        <f t="shared" si="0"/>
        <v xml:space="preserve">
</v>
      </c>
      <c r="L8" s="35" t="s">
        <v>1816</v>
      </c>
      <c r="M8" s="36" t="str">
        <f>IF(FAMILY5ADDRESS1="","",IF(SPONSORADDRESS1=FAMILY5ADDRESS1,"YES","NO"))</f>
        <v/>
      </c>
      <c r="N8" s="36" t="str">
        <f>IF(FAMILY5ADDRESS2="","",IF(SPONSORADDRESS2=FAMILY5ADDRESS2,"YES","NO"))</f>
        <v/>
      </c>
      <c r="O8" s="36" t="str">
        <f>IF(SPONSORADDRESS2="","",IF(SPONSORADDRESS2=FAMILY5ADDRESS1,"YES","NO"))</f>
        <v/>
      </c>
      <c r="P8" s="36" t="str">
        <f>IF(FAMILY5ADDRESS2="","",IF(SPONSORADDRESS1=FAMILY5ADDRESS2,"YES","NO"))</f>
        <v/>
      </c>
      <c r="Q8" s="16" t="str">
        <f t="shared" si="1"/>
        <v/>
      </c>
      <c r="R8" s="35">
        <f t="shared" si="2"/>
        <v>0</v>
      </c>
      <c r="S8" s="35">
        <f t="shared" si="3"/>
        <v>0</v>
      </c>
      <c r="T8" s="35">
        <f t="shared" si="4"/>
        <v>0</v>
      </c>
      <c r="U8" s="35">
        <f t="shared" si="5"/>
        <v>0</v>
      </c>
      <c r="V8" s="35">
        <f t="shared" si="6"/>
        <v>0</v>
      </c>
      <c r="W8" s="35">
        <f t="shared" si="7"/>
        <v>0</v>
      </c>
      <c r="X8" s="35">
        <f t="shared" si="8"/>
        <v>0</v>
      </c>
      <c r="Y8" s="35">
        <f t="shared" si="9"/>
        <v>0</v>
      </c>
      <c r="Z8" s="35">
        <f t="shared" si="10"/>
        <v>0</v>
      </c>
      <c r="AA8" s="35" t="str">
        <f t="shared" si="11"/>
        <v>■</v>
      </c>
      <c r="AB8" s="3"/>
      <c r="AC8" s="3"/>
    </row>
    <row r="9" spans="2:29" ht="21">
      <c r="B9" s="2046"/>
      <c r="C9" s="2030"/>
      <c r="D9" s="2030"/>
      <c r="E9" s="10"/>
      <c r="F9" s="10"/>
      <c r="G9" s="7"/>
      <c r="H9" s="6" t="s">
        <v>1817</v>
      </c>
      <c r="I9" s="33" t="str">
        <f>IF(FAMILY6ADDRESS1="","",""&amp;IF(FAMILY6ADDRESS2="",FAMILY6ADDRESS1,"戸籍住所："&amp;FAMILY6ADDRESS1))</f>
        <v/>
      </c>
      <c r="J9" s="33" t="str">
        <f>IF(FAMILY6ADDRESS2="","",""&amp;IF(FAMILY6ADDRESS1="",FAMILY6ADDRESS2,"現住所："&amp;FAMILY6ADDRESS2))</f>
        <v/>
      </c>
      <c r="K9" s="34" t="str">
        <f t="shared" si="0"/>
        <v xml:space="preserve">
</v>
      </c>
      <c r="L9" s="35" t="s">
        <v>1817</v>
      </c>
      <c r="M9" s="36" t="str">
        <f>IF(FAMILY6ADDRESS1="","",IF(SPONSORADDRESS1=FAMILY6ADDRESS1,"YES","NO"))</f>
        <v/>
      </c>
      <c r="N9" s="36" t="str">
        <f>IF(FAMILY6ADDRESS2="","",IF(SPONSORADDRESS2=FAMILY6ADDRESS2,"YES","NO"))</f>
        <v/>
      </c>
      <c r="O9" s="36" t="str">
        <f>IF(SPONSORADDRESS2="","",IF(SPONSORADDRESS2=FAMILY6ADDRESS1,"YES","NO"))</f>
        <v/>
      </c>
      <c r="P9" s="36" t="str">
        <f>IF(FAMILY6ADDRESS2="","",IF(SPONSORADDRESS1=FAMILY6ADDRESS2,"YES","NO"))</f>
        <v/>
      </c>
      <c r="Q9" s="16" t="str">
        <f t="shared" si="1"/>
        <v/>
      </c>
      <c r="R9" s="35">
        <f t="shared" si="2"/>
        <v>0</v>
      </c>
      <c r="S9" s="35">
        <f t="shared" si="3"/>
        <v>0</v>
      </c>
      <c r="T9" s="35">
        <f t="shared" si="4"/>
        <v>0</v>
      </c>
      <c r="U9" s="35">
        <f t="shared" si="5"/>
        <v>0</v>
      </c>
      <c r="V9" s="35">
        <f t="shared" si="6"/>
        <v>0</v>
      </c>
      <c r="W9" s="35">
        <f t="shared" si="7"/>
        <v>0</v>
      </c>
      <c r="X9" s="35">
        <f t="shared" si="8"/>
        <v>0</v>
      </c>
      <c r="Y9" s="35">
        <f t="shared" si="9"/>
        <v>0</v>
      </c>
      <c r="Z9" s="35">
        <f t="shared" si="10"/>
        <v>0</v>
      </c>
      <c r="AA9" s="35" t="str">
        <f t="shared" si="11"/>
        <v>■</v>
      </c>
      <c r="AB9" s="3"/>
      <c r="AC9" s="3"/>
    </row>
    <row r="10" spans="2:29" ht="21">
      <c r="B10" s="2046" t="s">
        <v>1818</v>
      </c>
      <c r="C10" s="2030" t="str">
        <f>IF(ISBLANK(FAMILY4DOB),"",DATEDIF(FAMILY4DOB,Information!$Q$2,"Y"))</f>
        <v/>
      </c>
      <c r="D10" s="2030"/>
      <c r="E10" s="4" t="str">
        <f>IF(FAMILY4RELATIONSHIP="","",VLOOKUP(FAMILY4RELATIONSHIP,FAMILYCONVERSION,3,0))</f>
        <v/>
      </c>
      <c r="F10" s="5" t="e">
        <f>IF(F11="","",VLOOKUP(F11,YESNOTRANSLATION,2,0))</f>
        <v>#N/A</v>
      </c>
      <c r="G10" s="7"/>
      <c r="H10" s="6" t="s">
        <v>1819</v>
      </c>
      <c r="I10" s="33" t="str">
        <f>IF(FAMILY7ADDRESS1="","",""&amp;IF(FAMILY7ADDRESS2="",FAMILY7ADDRESS1,"戸籍住所："&amp;FAMILY7ADDRESS1))</f>
        <v/>
      </c>
      <c r="J10" s="33" t="str">
        <f>IF(FAMILY7ADDRESS2="","",""&amp;IF(FAMILY7ADDRESS1="",FAMILY7ADDRESS2,"現住所："&amp;FAMILY7ADDRESS2))</f>
        <v/>
      </c>
      <c r="K10" s="34" t="str">
        <f t="shared" si="0"/>
        <v xml:space="preserve">
</v>
      </c>
      <c r="L10" s="35" t="s">
        <v>1819</v>
      </c>
      <c r="M10" s="36" t="str">
        <f>IF(FAMILY7ADDRESS1="","",IF(SPONSORADDRESS1=FAMILY7ADDRESS1,"YES","NO"))</f>
        <v/>
      </c>
      <c r="N10" s="36" t="str">
        <f>IF(FAMILY7ADDRESS2="","",IF(SPONSORADDRESS2=FAMILY7ADDRESS2,"YES","NO"))</f>
        <v/>
      </c>
      <c r="O10" s="36" t="str">
        <f>IF(SPONSORADDRESS2="","",IF(SPONSORADDRESS2=FAMILY7ADDRESS1,"YES","NO"))</f>
        <v/>
      </c>
      <c r="P10" s="36" t="str">
        <f>IF(FAMILY7ADDRESS2="","",IF(SPONSORADDRESS1=FAMILY7ADDRESS2,"YES","NO"))</f>
        <v/>
      </c>
      <c r="Q10" s="16" t="str">
        <f t="shared" si="1"/>
        <v/>
      </c>
      <c r="R10" s="35">
        <f t="shared" si="2"/>
        <v>0</v>
      </c>
      <c r="S10" s="35">
        <f t="shared" si="3"/>
        <v>0</v>
      </c>
      <c r="T10" s="35">
        <f t="shared" si="4"/>
        <v>0</v>
      </c>
      <c r="U10" s="35">
        <f t="shared" si="5"/>
        <v>0</v>
      </c>
      <c r="V10" s="35">
        <f t="shared" si="6"/>
        <v>0</v>
      </c>
      <c r="W10" s="35">
        <f t="shared" si="7"/>
        <v>0</v>
      </c>
      <c r="X10" s="35">
        <f t="shared" si="8"/>
        <v>0</v>
      </c>
      <c r="Y10" s="35">
        <f t="shared" si="9"/>
        <v>0</v>
      </c>
      <c r="Z10" s="35">
        <f t="shared" si="10"/>
        <v>0</v>
      </c>
      <c r="AA10" s="35" t="str">
        <f t="shared" si="11"/>
        <v>■</v>
      </c>
      <c r="AB10" s="3"/>
      <c r="AC10" s="3"/>
    </row>
    <row r="11" spans="2:29" ht="21">
      <c r="B11" s="2046"/>
      <c r="C11" s="2030"/>
      <c r="D11" s="2030"/>
      <c r="E11" s="4" t="str">
        <f>IF(FAMILY4RELATIONSHIP="","",VLOOKUP(FAMILY4RELATIONSHIP,FAMILYCONVERSION,2,0))</f>
        <v/>
      </c>
      <c r="F11" s="5" t="str">
        <f>IFERROR(IF(STUDENTADDRESS1=FAMILY4ADDRESS1,$C$26,$D$26),"")</f>
        <v>Y</v>
      </c>
      <c r="G11" s="7"/>
      <c r="H11" s="6" t="s">
        <v>1820</v>
      </c>
      <c r="I11" s="33" t="str">
        <f>IF(FAMILY8ADDRESS1="","",""&amp;IF(FAMILY8ADDRESS2="",FAMILY8ADDRESS1,"戸籍住所："&amp;FAMILY8ADDRESS1))</f>
        <v/>
      </c>
      <c r="J11" s="33" t="str">
        <f>IF(FAMILY8ADDRESS2="","",""&amp;IF(FAMILY8ADDRESS1="",FAMILY8ADDRESS2,"現住所："&amp;FAMILY8ADDRESS2))</f>
        <v/>
      </c>
      <c r="K11" s="34" t="str">
        <f t="shared" si="0"/>
        <v xml:space="preserve">
</v>
      </c>
      <c r="L11" s="35" t="s">
        <v>1820</v>
      </c>
      <c r="M11" s="36" t="str">
        <f>IF(FAMILY8ADDRESS1="","",IF(SPONSORADDRESS1=FAMILY8ADDRESS1,"YES","NO"))</f>
        <v/>
      </c>
      <c r="N11" s="36" t="str">
        <f>IF(FAMILY8ADDRESS2="","",IF(SPONSORADDRESS2=FAMILY8ADDRESS2,"YES","NO"))</f>
        <v/>
      </c>
      <c r="O11" s="36" t="str">
        <f>IF(SPONSORADDRESS2="","",IF(SPONSORADDRESS2=FAMILY8ADDRESS1,"YES","NO"))</f>
        <v/>
      </c>
      <c r="P11" s="36" t="str">
        <f>IF(FAMILY8ADDRESS2="","",IF(SPONSORADDRESS1=FAMILY8ADDRESS2,"YES","NO"))</f>
        <v/>
      </c>
      <c r="Q11" s="16" t="str">
        <f t="shared" si="1"/>
        <v/>
      </c>
      <c r="R11" s="35">
        <f t="shared" si="2"/>
        <v>0</v>
      </c>
      <c r="S11" s="35">
        <f t="shared" si="3"/>
        <v>0</v>
      </c>
      <c r="T11" s="35">
        <f t="shared" si="4"/>
        <v>0</v>
      </c>
      <c r="U11" s="35">
        <f t="shared" si="5"/>
        <v>0</v>
      </c>
      <c r="V11" s="35">
        <f t="shared" si="6"/>
        <v>0</v>
      </c>
      <c r="W11" s="35">
        <f t="shared" si="7"/>
        <v>0</v>
      </c>
      <c r="X11" s="35">
        <f t="shared" si="8"/>
        <v>0</v>
      </c>
      <c r="Y11" s="35">
        <f t="shared" si="9"/>
        <v>0</v>
      </c>
      <c r="Z11" s="35">
        <f t="shared" si="10"/>
        <v>0</v>
      </c>
      <c r="AA11" s="35" t="str">
        <f t="shared" si="11"/>
        <v>■</v>
      </c>
      <c r="AB11" s="3"/>
      <c r="AC11" s="3"/>
    </row>
    <row r="12" spans="2:29" ht="21">
      <c r="B12" s="2046" t="s">
        <v>1821</v>
      </c>
      <c r="C12" s="2030" t="str">
        <f>IF(ISBLANK(FAMILY5DOB),"",DATEDIF(FAMILY5DOB,Information!$Q$2,"Y"))</f>
        <v/>
      </c>
      <c r="D12" s="2030"/>
      <c r="E12" s="4" t="str">
        <f>IF(FAMILY5RELATIONSHIP="","",VLOOKUP(FAMILY5RELATIONSHIP,FAMILYCONVERSION,3,0))</f>
        <v/>
      </c>
      <c r="F12" s="5" t="e">
        <f>IF(F13="","",VLOOKUP(F13,YESNOTRANSLATION,2,0))</f>
        <v>#N/A</v>
      </c>
      <c r="G12" s="7"/>
      <c r="H12" s="6" t="s">
        <v>1822</v>
      </c>
      <c r="I12" s="33" t="str">
        <f>IF(FAMILY9ADDRESS1="","",""&amp;IF(FAMILY9ADDRESS2="",FAMILY9ADDRESS1,"戸籍住所："&amp;FAMILY9ADDRESS1))</f>
        <v/>
      </c>
      <c r="J12" s="33" t="str">
        <f>IF(FAMILY9ADDRESS2="","",""&amp;IF(FAMILY9ADDRESS1="",FAMILY9ADDRESS2,"現住所："&amp;FAMILY9ADDRESS2))</f>
        <v/>
      </c>
      <c r="K12" s="34" t="str">
        <f t="shared" si="0"/>
        <v xml:space="preserve">
</v>
      </c>
      <c r="L12" s="35" t="s">
        <v>1822</v>
      </c>
      <c r="M12" s="36" t="str">
        <f>IF(FAMILY9ADDRESS1="","",IF(SPONSORADDRESS1=FAMILY9ADDRESS1,"YES","NO"))</f>
        <v/>
      </c>
      <c r="N12" s="36" t="str">
        <f>IF(FAMILY9ADDRESS2="","",IF(SPONSORADDRESS2=FAMILY9ADDRESS2,"YES","NO"))</f>
        <v/>
      </c>
      <c r="O12" s="36" t="str">
        <f>IF(SPONSORADDRESS2="","",IF(SPONSORADDRESS2=FAMILY9ADDRESS1,"YES","NO"))</f>
        <v/>
      </c>
      <c r="P12" s="36" t="str">
        <f>IF(FAMILY9ADDRESS2="","",IF(SPONSORADDRESS1=FAMILY9ADDRESS2,"YES","NO"))</f>
        <v/>
      </c>
      <c r="Q12" s="16" t="str">
        <f t="shared" si="1"/>
        <v/>
      </c>
      <c r="R12" s="35">
        <f t="shared" si="2"/>
        <v>0</v>
      </c>
      <c r="S12" s="35">
        <f t="shared" si="3"/>
        <v>0</v>
      </c>
      <c r="T12" s="35">
        <f t="shared" si="4"/>
        <v>0</v>
      </c>
      <c r="U12" s="35">
        <f t="shared" si="5"/>
        <v>0</v>
      </c>
      <c r="V12" s="35">
        <f t="shared" si="6"/>
        <v>0</v>
      </c>
      <c r="W12" s="35">
        <f t="shared" si="7"/>
        <v>0</v>
      </c>
      <c r="X12" s="35">
        <f t="shared" si="8"/>
        <v>0</v>
      </c>
      <c r="Y12" s="35">
        <f t="shared" si="9"/>
        <v>0</v>
      </c>
      <c r="Z12" s="35">
        <f t="shared" si="10"/>
        <v>0</v>
      </c>
      <c r="AA12" s="35" t="str">
        <f t="shared" si="11"/>
        <v>■</v>
      </c>
      <c r="AB12" s="3"/>
      <c r="AC12" s="3"/>
    </row>
    <row r="13" spans="2:29" ht="21">
      <c r="B13" s="2046"/>
      <c r="C13" s="2030"/>
      <c r="D13" s="2030"/>
      <c r="E13" s="4" t="str">
        <f>IF(FAMILY5RELATIONSHIP="","",VLOOKUP(FAMILY5RELATIONSHIP,FAMILYCONVERSION,2,0))</f>
        <v/>
      </c>
      <c r="F13" s="5" t="str">
        <f>IFERROR(IF(STUDENTADDRESS1=FAMILY5ADDRESS1,$C$26,$D$26),"")</f>
        <v>Y</v>
      </c>
      <c r="G13" s="7"/>
      <c r="H13" s="6" t="s">
        <v>1823</v>
      </c>
      <c r="I13" s="33" t="str">
        <f>IF(FAMILY10ADDRESS1="","",""&amp;IF(FAMILY10ADDRESS2="",FAMILY10ADDRESS1,"戸籍住所："&amp;FAMILY10ADDRESS1))</f>
        <v/>
      </c>
      <c r="J13" s="33" t="str">
        <f>IF(FAMILY10ADDRESS2="","",""&amp;IF(FAMILY10ADDRESS1="",FAMILY10ADDRESS2,"現住所："&amp;FAMILY10ADDRESS2))</f>
        <v/>
      </c>
      <c r="K13" s="34" t="str">
        <f t="shared" si="0"/>
        <v xml:space="preserve">
</v>
      </c>
      <c r="L13" s="35" t="s">
        <v>1823</v>
      </c>
      <c r="M13" s="36" t="str">
        <f>IF(FAMILY10ADDRESS1="","",IF(SPONSORADDRESS1=FAMILY10ADDRESS1,"YES","NO"))</f>
        <v/>
      </c>
      <c r="N13" s="36" t="str">
        <f>IF(FAMILY10ADDRESS2="","",IF(SPONSORADDRESS2=FAMILY10ADDRESS2,"YES","NO"))</f>
        <v/>
      </c>
      <c r="O13" s="36" t="str">
        <f>IF(SPONSORADDRESS2="","",IF(SPONSORADDRESS2=FAMILY10ADDRESS1,"YES","NO"))</f>
        <v/>
      </c>
      <c r="P13" s="36" t="str">
        <f>IF(FAMILY10ADDRESS2="","",IF(SPONSORADDRESS1=FAMILY10ADDRESS2,"YES","NO"))</f>
        <v/>
      </c>
      <c r="Q13" s="16" t="str">
        <f t="shared" si="1"/>
        <v/>
      </c>
      <c r="R13" s="35">
        <f t="shared" si="2"/>
        <v>0</v>
      </c>
      <c r="S13" s="35">
        <f t="shared" si="3"/>
        <v>0</v>
      </c>
      <c r="T13" s="35">
        <f t="shared" si="4"/>
        <v>0</v>
      </c>
      <c r="U13" s="35">
        <f t="shared" si="5"/>
        <v>0</v>
      </c>
      <c r="V13" s="35">
        <f t="shared" si="6"/>
        <v>0</v>
      </c>
      <c r="W13" s="35">
        <f t="shared" si="7"/>
        <v>0</v>
      </c>
      <c r="X13" s="35">
        <f t="shared" si="8"/>
        <v>0</v>
      </c>
      <c r="Y13" s="35">
        <f t="shared" si="9"/>
        <v>0</v>
      </c>
      <c r="Z13" s="35">
        <f t="shared" si="10"/>
        <v>0</v>
      </c>
      <c r="AA13" s="35" t="str">
        <f t="shared" si="11"/>
        <v>■</v>
      </c>
      <c r="AB13" s="3"/>
      <c r="AC13" s="3"/>
    </row>
    <row r="14" spans="2:29">
      <c r="B14" s="2046" t="s">
        <v>1824</v>
      </c>
      <c r="C14" s="2030" t="str">
        <f>IF(ISBLANK(FAMILY6DOB),"",DATEDIF(FAMILY6DOB,Information!$Q$2,"Y"))</f>
        <v/>
      </c>
      <c r="D14" s="2030"/>
      <c r="E14" s="4" t="str">
        <f>IF(FAMILY6RELATIONSHIP="","",VLOOKUP(FAMILY6RELATIONSHIP,FAMILYCONVERSION,3,0))</f>
        <v/>
      </c>
      <c r="F14" s="5" t="e">
        <f>IF(F15="","",VLOOKUP(F15,YESNOTRANSLATION,2,0))</f>
        <v>#N/A</v>
      </c>
      <c r="G14" s="7"/>
      <c r="AB14" s="3"/>
      <c r="AC14" s="3"/>
    </row>
    <row r="15" spans="2:29">
      <c r="B15" s="2046"/>
      <c r="C15" s="2030"/>
      <c r="D15" s="2030"/>
      <c r="E15" s="4" t="str">
        <f>IF(FAMILY6RELATIONSHIP="","",VLOOKUP(FAMILY6RELATIONSHIP,FAMILYCONVERSION,2,0))</f>
        <v/>
      </c>
      <c r="F15" s="5" t="str">
        <f>IFERROR(IF(STUDENTADDRESS1=FAMILY6ADDRESS1,$C$26,$D$26),"")</f>
        <v>Y</v>
      </c>
      <c r="G15" s="7"/>
      <c r="AB15" s="3"/>
      <c r="AC15" s="3"/>
    </row>
    <row r="16" spans="2:29">
      <c r="B16" s="2046" t="s">
        <v>1825</v>
      </c>
      <c r="C16" s="2030" t="str">
        <f>IF(ISBLANK(FAMILY7DOB),"",DATEDIF(FAMILY7DOB,Information!$Q$2,"Y"))</f>
        <v/>
      </c>
      <c r="D16" s="2030"/>
      <c r="E16" s="4" t="str">
        <f>IF(FAMILY7RELATIONSHIP="","",VLOOKUP(FAMILY7RELATIONSHIP,FAMILYCONVERSION,3,0))</f>
        <v/>
      </c>
      <c r="F16" s="5" t="e">
        <f>IF(F17="","",VLOOKUP(F17,YESNOTRANSLATION,2,0))</f>
        <v>#N/A</v>
      </c>
      <c r="G16" s="7"/>
      <c r="AC16" s="3"/>
    </row>
    <row r="17" spans="2:41">
      <c r="B17" s="2046"/>
      <c r="C17" s="2030"/>
      <c r="D17" s="2030"/>
      <c r="E17" s="4" t="str">
        <f>IF(FAMILY7RELATIONSHIP="","",VLOOKUP(FAMILY7RELATIONSHIP,FAMILYCONVERSION,2,0))</f>
        <v/>
      </c>
      <c r="F17" s="5" t="str">
        <f>IFERROR(IF(STUDENTADDRESS1=FAMILY7ADDRESS1,$C$26,$D$26),"")</f>
        <v>Y</v>
      </c>
      <c r="G17" s="7"/>
      <c r="AC17" s="3"/>
    </row>
    <row r="18" spans="2:41">
      <c r="B18" s="2046" t="s">
        <v>1826</v>
      </c>
      <c r="C18" s="2032" t="str">
        <f>IF(ISBLANK(FAMILY8DOB),"",DATEDIF(FAMILY8DOB,Information!$Q$2,"Y"))</f>
        <v/>
      </c>
      <c r="D18" s="2033"/>
      <c r="E18" s="4" t="str">
        <f>IF(FAMILY8RELATIONSHIP="","",VLOOKUP(FAMILY8RELATIONSHIP,FAMILYCONVERSION,3,0))</f>
        <v/>
      </c>
      <c r="F18" s="5" t="e">
        <f>IF(F19="","",VLOOKUP(F19,YESNOTRANSLATION,2,0))</f>
        <v>#N/A</v>
      </c>
      <c r="G18" s="7"/>
      <c r="AC18" s="3"/>
    </row>
    <row r="19" spans="2:41">
      <c r="B19" s="2046"/>
      <c r="C19" s="2034"/>
      <c r="D19" s="2035"/>
      <c r="E19" s="4" t="str">
        <f>IF(FAMILY8RELATIONSHIP="","",VLOOKUP(FAMILY8RELATIONSHIP,FAMILYCONVERSION,2,0))</f>
        <v/>
      </c>
      <c r="F19" s="5" t="str">
        <f>IFERROR(IF(STUDENTADDRESS1=FAMILY8ADDRESS1,$C$26,$D$26),"")</f>
        <v>Y</v>
      </c>
      <c r="G19" s="7"/>
      <c r="AC19" s="3"/>
    </row>
    <row r="20" spans="2:41">
      <c r="B20" s="2046" t="s">
        <v>1827</v>
      </c>
      <c r="C20" s="2030" t="str">
        <f>IF(ISBLANK(FAMILY9DOB),"",DATEDIF(FAMILY9DOB,Information!$Q$2,"Y"))</f>
        <v/>
      </c>
      <c r="D20" s="2030"/>
      <c r="E20" s="4" t="str">
        <f>IF(FAMILY9RELATIONSHIP="","",VLOOKUP(FAMILY9RELATIONSHIP,FAMILYCONVERSION,3,0))</f>
        <v/>
      </c>
      <c r="F20" s="5" t="e">
        <f>IF(F21="","",VLOOKUP(F21,YESNOTRANSLATION,2,0))</f>
        <v>#N/A</v>
      </c>
      <c r="G20" s="7"/>
      <c r="AC20" s="3"/>
    </row>
    <row r="21" spans="2:41">
      <c r="B21" s="2046"/>
      <c r="C21" s="2030"/>
      <c r="D21" s="2030"/>
      <c r="E21" s="4" t="str">
        <f>IF(FAMILY9RELATIONSHIP="","",VLOOKUP(FAMILY9RELATIONSHIP,FAMILYCONVERSION,2,0))</f>
        <v/>
      </c>
      <c r="F21" s="5" t="str">
        <f>IFERROR(IF(STUDENTADDRESS1=FAMILY8ADDRESS1,$C$26,$D$26),"")</f>
        <v>Y</v>
      </c>
      <c r="G21" s="7"/>
      <c r="AC21" s="3"/>
    </row>
    <row r="22" spans="2:41">
      <c r="B22" s="2046" t="s">
        <v>1828</v>
      </c>
      <c r="C22" s="2030" t="str">
        <f>IF(ISBLANK(FAMILY10DOB),"",DATEDIF(FAMILY10DOB,Information!$Q$2,"Y"))</f>
        <v/>
      </c>
      <c r="D22" s="2030"/>
      <c r="E22" s="4" t="str">
        <f>IF(FAMILY10RELATIONSHIP="","",VLOOKUP(FAMILY10RELATIONSHIP,FAMILYCONVERSION,3,0))</f>
        <v/>
      </c>
      <c r="F22" s="5" t="e">
        <f>IF(F23="","",VLOOKUP(F23,YESNOTRANSLATION,2,0))</f>
        <v>#N/A</v>
      </c>
      <c r="G22" s="1"/>
      <c r="AC22" s="3"/>
    </row>
    <row r="23" spans="2:41">
      <c r="B23" s="2046"/>
      <c r="C23" s="2030"/>
      <c r="D23" s="2030"/>
      <c r="E23" s="4" t="str">
        <f>IF(FAMILY10RELATIONSHIP="","",VLOOKUP(FAMILY10RELATIONSHIP,FAMILYCONVERSION,2,0))</f>
        <v/>
      </c>
      <c r="F23" s="5" t="str">
        <f>IFERROR(IF(STUDENTADDRESS1=FAMILY8ADDRESS1,$C$26,$D$26),"")</f>
        <v>Y</v>
      </c>
      <c r="G23" s="1"/>
      <c r="AC23" s="3"/>
    </row>
    <row r="24" spans="2:41">
      <c r="AC24" s="3"/>
    </row>
    <row r="25" spans="2:41">
      <c r="C25" s="10" t="s">
        <v>1829</v>
      </c>
      <c r="D25" s="11" t="s">
        <v>1830</v>
      </c>
      <c r="F25" s="12" t="s">
        <v>1829</v>
      </c>
      <c r="G25" s="13" t="s">
        <v>1830</v>
      </c>
      <c r="AC25" s="3"/>
    </row>
    <row r="26" spans="2:41">
      <c r="C26" s="14" t="str">
        <f>IF(Information!BB6="","",VLOOKUP(Information!BB6,YESNOCHANGE,2,0))</f>
        <v>Y</v>
      </c>
      <c r="D26" s="14" t="str">
        <f>IF(Information!BB6="","",VLOOKUP(Information!BB6,YESNOCHANGE,3,0))</f>
        <v>N</v>
      </c>
      <c r="F26" s="15" t="str">
        <f>IF(Information!$BB$6="","",VLOOKUP(Information!$BB$6,YESNOCHANGE,2,0))</f>
        <v>Y</v>
      </c>
      <c r="G26" s="15" t="str">
        <f>IF(Information!$BB$6="","",VLOOKUP(Information!$BB$6,YESNOCHANGE,3,0))</f>
        <v>N</v>
      </c>
      <c r="AC26" s="3"/>
    </row>
    <row r="27" spans="2:41">
      <c r="F27" s="16" t="s">
        <v>89</v>
      </c>
      <c r="G27" s="16" t="s">
        <v>5</v>
      </c>
      <c r="AC27" s="3"/>
    </row>
    <row r="28" spans="2:41">
      <c r="AC28" s="3"/>
    </row>
    <row r="29" spans="2:41">
      <c r="B29" s="2037" t="s">
        <v>1831</v>
      </c>
      <c r="C29" s="2038"/>
      <c r="D29" s="2038"/>
      <c r="E29" s="2038"/>
      <c r="F29" s="2038"/>
      <c r="G29" s="2038"/>
      <c r="H29" s="2038"/>
      <c r="I29" s="2038"/>
      <c r="J29" s="2038"/>
      <c r="K29" s="2038"/>
      <c r="L29" s="2038"/>
      <c r="M29" s="2038"/>
      <c r="N29" s="2038"/>
      <c r="O29" s="2038"/>
      <c r="P29" s="2038"/>
      <c r="Q29" s="2038"/>
      <c r="R29" s="2038"/>
      <c r="S29" s="2038"/>
      <c r="T29" s="2038"/>
      <c r="U29" s="2039"/>
      <c r="V29" s="2047" t="s">
        <v>1832</v>
      </c>
      <c r="W29" s="2040" t="s">
        <v>1833</v>
      </c>
      <c r="X29" s="2041"/>
      <c r="Y29" s="2041"/>
      <c r="Z29" s="2041"/>
      <c r="AA29" s="2041"/>
      <c r="AB29" s="2041"/>
      <c r="AC29" s="2041"/>
      <c r="AD29" s="2041"/>
      <c r="AE29" s="2041"/>
      <c r="AF29" s="2041"/>
      <c r="AG29" s="2041"/>
      <c r="AH29" s="2041"/>
      <c r="AI29" s="2041"/>
      <c r="AJ29" s="2041"/>
      <c r="AK29" s="2041"/>
      <c r="AL29" s="2041"/>
      <c r="AM29" s="2041"/>
      <c r="AN29" s="2041"/>
      <c r="AO29" s="2042"/>
    </row>
    <row r="30" spans="2:41">
      <c r="B30" s="17"/>
      <c r="C30" s="18" t="s">
        <v>1834</v>
      </c>
      <c r="D30" s="18" t="s">
        <v>1835</v>
      </c>
      <c r="E30" s="18" t="s">
        <v>10</v>
      </c>
      <c r="F30" s="18" t="s">
        <v>1836</v>
      </c>
      <c r="G30" s="18" t="s">
        <v>1837</v>
      </c>
      <c r="H30" s="18" t="s">
        <v>1838</v>
      </c>
      <c r="I30" s="18" t="s">
        <v>1839</v>
      </c>
      <c r="J30" s="37"/>
      <c r="K30" s="37"/>
      <c r="L30" s="37"/>
      <c r="M30" s="37"/>
      <c r="N30" s="37"/>
      <c r="O30" s="37"/>
      <c r="P30" s="37"/>
      <c r="Q30" s="37"/>
      <c r="R30" s="37"/>
      <c r="S30" s="37"/>
      <c r="T30" s="43"/>
      <c r="U30" s="44"/>
      <c r="V30" s="2047"/>
      <c r="W30" s="45">
        <v>1</v>
      </c>
      <c r="X30" s="46" t="str">
        <f t="shared" ref="X30:X39" si="12">IFERROR(VLOOKUP($W30,FAMILYDATA2,2,FALSE),"")</f>
        <v/>
      </c>
      <c r="Y30" s="46" t="str">
        <f t="shared" ref="Y30:Y39" si="13">IFERROR(VLOOKUP($W30,FAMILYDATA2,3,FALSE),"")</f>
        <v/>
      </c>
      <c r="Z30" s="46" t="str">
        <f t="shared" ref="Z30:Z39" si="14">IFERROR(VLOOKUP($W30,FAMILYDATA2,4,FALSE),"")</f>
        <v/>
      </c>
      <c r="AA30" s="54" t="str">
        <f t="shared" ref="AA30:AA39" si="15">IFERROR(VLOOKUP($W30,FAMILYDATA2,5,FALSE),"")</f>
        <v/>
      </c>
      <c r="AB30" s="55" t="str">
        <f t="shared" ref="AB30:AB39" si="16">IFERROR(VLOOKUP($W30,FAMILYDATA2,6,FALSE),"")</f>
        <v/>
      </c>
      <c r="AC30" s="55" t="str">
        <f t="shared" ref="AC30:AC39" si="17">IFERROR(VLOOKUP($W30,FAMILYDATA2,7,FALSE),"")</f>
        <v/>
      </c>
      <c r="AD30" s="55" t="str">
        <f t="shared" ref="AD30:AD39" si="18">IFERROR(VLOOKUP($W30,FAMILYDATA2,8,FALSE),"")</f>
        <v/>
      </c>
      <c r="AE30" s="55" t="str">
        <f t="shared" ref="AE30:AE38" si="19">IFERROR(VLOOKUP($W30,FAMILYDATA2,9,FALSE),"")</f>
        <v/>
      </c>
      <c r="AF30" s="55" t="str">
        <f t="shared" ref="AF30:AF39" si="20">IFERROR(VLOOKUP($W30,FAMILYDATA2,10,FALSE),"")</f>
        <v/>
      </c>
      <c r="AG30" s="55" t="str">
        <f t="shared" ref="AG30:AG40" si="21">IFERROR(VLOOKUP($W30,FAMILYDATA2,11,FALSE),"")</f>
        <v/>
      </c>
      <c r="AH30" s="55" t="str">
        <f t="shared" ref="AH30:AH39" si="22">IFERROR(VLOOKUP($W30,FAMILYDATA2,12,FALSE),$G$27)</f>
        <v>□</v>
      </c>
      <c r="AI30" s="55" t="str">
        <f t="shared" ref="AI30:AI39" si="23">IFERROR(VLOOKUP($W30,FAMILYDATA2,13,FALSE),$G$27)</f>
        <v>□</v>
      </c>
      <c r="AJ30" s="55" t="str">
        <f t="shared" ref="AJ30:AJ39" si="24">IFERROR(VLOOKUP($W30,FAMILYDATA2,14,FALSE),"")</f>
        <v/>
      </c>
      <c r="AK30" s="55" t="str">
        <f t="shared" ref="AK30:AK39" si="25">IFERROR(VLOOKUP($W30,FAMILYDATA2,15,FALSE),"")</f>
        <v/>
      </c>
      <c r="AL30" s="55" t="str">
        <f t="shared" ref="AL30:AL40" si="26">IFERROR(VLOOKUP($W30,FAMILYDATA2,16,FALSE),"")</f>
        <v/>
      </c>
      <c r="AM30" s="58">
        <f t="shared" ref="AM30:AM39" si="27">IFERROR(INDEX(FAMILYTRANSLATION,MATCH(AD30,FAMILYMATCH,0)),0)</f>
        <v>0</v>
      </c>
      <c r="AN30" s="52" t="e">
        <f t="shared" ref="AN30:AN40" si="28">YEAR(AA30)</f>
        <v>#VALUE!</v>
      </c>
      <c r="AO30" s="62" t="e">
        <f t="shared" ref="AO30:AO40" si="29">IF(AN30=1900,"0",AN30)</f>
        <v>#VALUE!</v>
      </c>
    </row>
    <row r="31" spans="2:41">
      <c r="B31" s="19" t="str">
        <f>IFERROR(RANK(U31,$U$31:$U$40,1)+COUNTIF($U31:U$31,U31)-1,"")</f>
        <v/>
      </c>
      <c r="C31" s="20" t="str">
        <f>SPONSORAGE</f>
        <v/>
      </c>
      <c r="D31" s="20">
        <f>SPONSORNAME</f>
        <v>0</v>
      </c>
      <c r="E31" s="20" t="str">
        <f>IF(SPONSORRELATIONSHIP="","",VLOOKUP(SPONSORRELATIONSHIP,FAMILYCONVERSION,2,0))</f>
        <v/>
      </c>
      <c r="F31" s="21">
        <f>SPONSORDOB</f>
        <v>0</v>
      </c>
      <c r="G31" s="20">
        <f>SPONSORJOB</f>
        <v>0</v>
      </c>
      <c r="H31" s="20" t="str">
        <f t="shared" ref="H31:H39" si="30">K5</f>
        <v xml:space="preserve">
</v>
      </c>
      <c r="I31" s="20" t="str">
        <f>UPPER(SPONSORRELATIONSHIP)</f>
        <v/>
      </c>
      <c r="J31" s="38">
        <f t="shared" ref="J31:J39" si="31">IFERROR(INDEX(JOBSINDEX,MATCH(G31,JOBSMATCH,0)),0)</f>
        <v>0</v>
      </c>
      <c r="K31" s="38" t="str">
        <f>IF(J31="死亡","","年齢 "&amp;IF(APNATION="","",VLOOKUP(APNATION,FORMINFO,16,0))&amp;" ( "&amp;IF(J31="死亡","",SPONSORAGE&amp;" 歳)"))</f>
        <v>年齢 Age (  歳)</v>
      </c>
      <c r="L31" s="38" t="str">
        <f t="shared" ref="L31:L39" si="32">IFERROR(VLOOKUP(E31,GENDERTRANSLATION,2,0),"")</f>
        <v/>
      </c>
      <c r="M31" s="38" t="str">
        <f t="shared" ref="M31:M39" si="33">AA4</f>
        <v>■</v>
      </c>
      <c r="N31" s="38" t="str">
        <f t="shared" ref="N31:N39" si="34">IF(M31=$F$27,$G$27,$F$27)</f>
        <v>□</v>
      </c>
      <c r="O31" s="39" t="str">
        <f>UPPER(IF(ISBLANK(SPONSORNAME),"",SPONSORCOUNTRY))</f>
        <v/>
      </c>
      <c r="P31" s="38" t="str">
        <f>IF(SPONSORNAME="","",VLOOKUP(SPONSORCOUNTRY,NATIONS,2,0))</f>
        <v/>
      </c>
      <c r="Q31" s="38">
        <f t="shared" ref="Q31:Q39" si="35">IFERROR(VLOOKUP(I31,FAMCHANGE,2,0),0)</f>
        <v>0</v>
      </c>
      <c r="R31" s="38">
        <f t="shared" ref="R31:R39" si="36">IFERROR(INDEX(JOBSINDEX,MATCH(G31,JOBSMATCH,0)),0)</f>
        <v>0</v>
      </c>
      <c r="S31" s="38"/>
      <c r="T31" s="47">
        <f>IF(SPONSORRELATIONSHIP="Myself","",YEAR(F31))</f>
        <v>1900</v>
      </c>
      <c r="U31" s="48" t="str">
        <f>IFERROR(IF(T31=1900,"0",T31),"0")</f>
        <v>0</v>
      </c>
      <c r="V31" s="2047"/>
      <c r="W31" s="49">
        <v>2</v>
      </c>
      <c r="X31" s="20" t="str">
        <f t="shared" si="12"/>
        <v/>
      </c>
      <c r="Y31" s="20" t="str">
        <f t="shared" si="13"/>
        <v/>
      </c>
      <c r="Z31" s="20" t="str">
        <f t="shared" si="14"/>
        <v/>
      </c>
      <c r="AA31" s="21" t="str">
        <f t="shared" si="15"/>
        <v/>
      </c>
      <c r="AB31" s="56" t="str">
        <f t="shared" si="16"/>
        <v/>
      </c>
      <c r="AC31" s="56" t="str">
        <f t="shared" si="17"/>
        <v/>
      </c>
      <c r="AD31" s="56" t="str">
        <f t="shared" si="18"/>
        <v/>
      </c>
      <c r="AE31" s="56" t="str">
        <f t="shared" si="19"/>
        <v/>
      </c>
      <c r="AF31" s="56" t="str">
        <f t="shared" si="20"/>
        <v/>
      </c>
      <c r="AG31" s="56" t="str">
        <f t="shared" si="21"/>
        <v/>
      </c>
      <c r="AH31" s="56" t="str">
        <f t="shared" si="22"/>
        <v>□</v>
      </c>
      <c r="AI31" s="56" t="str">
        <f t="shared" si="23"/>
        <v>□</v>
      </c>
      <c r="AJ31" s="56" t="str">
        <f t="shared" si="24"/>
        <v/>
      </c>
      <c r="AK31" s="56" t="str">
        <f t="shared" si="25"/>
        <v/>
      </c>
      <c r="AL31" s="56" t="str">
        <f t="shared" si="26"/>
        <v/>
      </c>
      <c r="AM31" s="58">
        <f t="shared" si="27"/>
        <v>0</v>
      </c>
      <c r="AN31" s="47" t="e">
        <f t="shared" si="28"/>
        <v>#VALUE!</v>
      </c>
      <c r="AO31" s="48" t="e">
        <f t="shared" si="29"/>
        <v>#VALUE!</v>
      </c>
    </row>
    <row r="32" spans="2:41">
      <c r="B32" s="19" t="str">
        <f>IFERROR(RANK(U32,$U$31:$U$40,1)+COUNTIF($U$31:U32,U32)-1,"")</f>
        <v/>
      </c>
      <c r="C32" s="20" t="str">
        <f>FAMILY2AGE</f>
        <v/>
      </c>
      <c r="D32" s="20">
        <f>FAMILY2NAME</f>
        <v>0</v>
      </c>
      <c r="E32" s="20" t="str">
        <f>UPPER(IF(FAMILY2RELATIONSHIP="","",VLOOKUP(FAMILY2RELATIONSHIP,FAMILYCONVERSION,2,0)))</f>
        <v/>
      </c>
      <c r="F32" s="21">
        <f>FAMILY2DOB</f>
        <v>0</v>
      </c>
      <c r="G32" s="20">
        <f>FAMILY2JOB</f>
        <v>0</v>
      </c>
      <c r="H32" s="20" t="str">
        <f t="shared" si="30"/>
        <v xml:space="preserve">
</v>
      </c>
      <c r="I32" s="20" t="str">
        <f>UPPER(FAMILY2RELATIONSHIP)</f>
        <v/>
      </c>
      <c r="J32" s="38">
        <f t="shared" si="31"/>
        <v>0</v>
      </c>
      <c r="K32" s="38" t="str">
        <f>IF(J32="死亡","","年齢"&amp;IF(APNATION="","",VLOOKUP(APNATION,FORMINFO,16,0))&amp;" ( "&amp;IF(J32="死亡","",FAMILY2AGE&amp;" 歳)"))</f>
        <v>年齢Age (  歳)</v>
      </c>
      <c r="L32" s="38" t="str">
        <f t="shared" si="32"/>
        <v/>
      </c>
      <c r="M32" s="38" t="str">
        <f t="shared" si="33"/>
        <v>■</v>
      </c>
      <c r="N32" s="38" t="str">
        <f t="shared" si="34"/>
        <v>□</v>
      </c>
      <c r="O32" s="39" t="str">
        <f>UPPER(IF(ISBLANK(FAMILY2NAME),"",NATIONINFO))</f>
        <v/>
      </c>
      <c r="P32" s="38" t="str">
        <f>IF(FAMILY2NAME="","",VLOOKUP(NATIONINFO,NATIONS,2,0))</f>
        <v/>
      </c>
      <c r="Q32" s="38">
        <f t="shared" si="35"/>
        <v>0</v>
      </c>
      <c r="R32" s="38">
        <f t="shared" si="36"/>
        <v>0</v>
      </c>
      <c r="S32" s="38"/>
      <c r="T32" s="47">
        <f t="shared" ref="T32:T40" si="37">YEAR(F32)</f>
        <v>1900</v>
      </c>
      <c r="U32" s="48" t="str">
        <f t="shared" ref="U32:U40" si="38">IF(T32=1900,"0",T32)</f>
        <v>0</v>
      </c>
      <c r="V32" s="2047"/>
      <c r="W32" s="49">
        <v>3</v>
      </c>
      <c r="X32" s="20" t="str">
        <f t="shared" si="12"/>
        <v/>
      </c>
      <c r="Y32" s="20" t="str">
        <f t="shared" si="13"/>
        <v/>
      </c>
      <c r="Z32" s="20" t="str">
        <f t="shared" si="14"/>
        <v/>
      </c>
      <c r="AA32" s="21" t="str">
        <f t="shared" si="15"/>
        <v/>
      </c>
      <c r="AB32" s="56" t="str">
        <f t="shared" si="16"/>
        <v/>
      </c>
      <c r="AC32" s="56" t="str">
        <f t="shared" si="17"/>
        <v/>
      </c>
      <c r="AD32" s="56" t="str">
        <f t="shared" si="18"/>
        <v/>
      </c>
      <c r="AE32" s="56" t="str">
        <f t="shared" si="19"/>
        <v/>
      </c>
      <c r="AF32" s="56" t="str">
        <f t="shared" si="20"/>
        <v/>
      </c>
      <c r="AG32" s="56" t="str">
        <f t="shared" si="21"/>
        <v/>
      </c>
      <c r="AH32" s="56" t="str">
        <f t="shared" si="22"/>
        <v>□</v>
      </c>
      <c r="AI32" s="56" t="str">
        <f t="shared" si="23"/>
        <v>□</v>
      </c>
      <c r="AJ32" s="56" t="str">
        <f t="shared" si="24"/>
        <v/>
      </c>
      <c r="AK32" s="56" t="str">
        <f t="shared" si="25"/>
        <v/>
      </c>
      <c r="AL32" s="56" t="str">
        <f t="shared" si="26"/>
        <v/>
      </c>
      <c r="AM32" s="58">
        <f t="shared" si="27"/>
        <v>0</v>
      </c>
      <c r="AN32" s="47" t="e">
        <f t="shared" si="28"/>
        <v>#VALUE!</v>
      </c>
      <c r="AO32" s="48" t="e">
        <f t="shared" si="29"/>
        <v>#VALUE!</v>
      </c>
    </row>
    <row r="33" spans="2:41">
      <c r="B33" s="19" t="str">
        <f>IFERROR(RANK(U33,$U$31:$U$40,1)+COUNTIF($U$31:U33,U33)-1,"")</f>
        <v/>
      </c>
      <c r="C33" s="20" t="str">
        <f>FAMILY4AGE</f>
        <v/>
      </c>
      <c r="D33" s="20">
        <f>FAMILY4NAME</f>
        <v>0</v>
      </c>
      <c r="E33" s="20" t="str">
        <f>UPPER(IF(FAMILY4RELATIONSHIP="","",VLOOKUP(FAMILY4RELATIONSHIP,FAMILYCONVERSION,2,0)))</f>
        <v/>
      </c>
      <c r="F33" s="21">
        <f>FAMILY4DOB</f>
        <v>0</v>
      </c>
      <c r="G33" s="20">
        <f>FAMILY4JOB</f>
        <v>0</v>
      </c>
      <c r="H33" s="20" t="str">
        <f t="shared" si="30"/>
        <v xml:space="preserve">
</v>
      </c>
      <c r="I33" s="20" t="str">
        <f>UPPER(FAMILY4RELATIONSHIP)</f>
        <v/>
      </c>
      <c r="J33" s="38">
        <f t="shared" si="31"/>
        <v>0</v>
      </c>
      <c r="K33" s="38" t="str">
        <f>IF(J33="死亡","","年齢 "&amp;IF(APNATION="","",VLOOKUP(APNATION,FORMINFO,16,0))&amp;" ( "&amp;IF(J33="死亡","",FAMILY4AGE&amp;" 歳)"))</f>
        <v>年齢 Age (  歳)</v>
      </c>
      <c r="L33" s="38" t="str">
        <f t="shared" si="32"/>
        <v/>
      </c>
      <c r="M33" s="38" t="str">
        <f t="shared" si="33"/>
        <v>■</v>
      </c>
      <c r="N33" s="38" t="str">
        <f t="shared" si="34"/>
        <v>□</v>
      </c>
      <c r="O33" s="39" t="str">
        <f>UPPER(IF(ISBLANK(FAMILY4NAME),"",NATIONINFO))</f>
        <v/>
      </c>
      <c r="P33" s="38" t="str">
        <f>IF(FAMILY4NAME="","",VLOOKUP(NATIONINFO,NATIONS,2,0))</f>
        <v/>
      </c>
      <c r="Q33" s="38">
        <f t="shared" si="35"/>
        <v>0</v>
      </c>
      <c r="R33" s="38">
        <f t="shared" si="36"/>
        <v>0</v>
      </c>
      <c r="S33" s="38"/>
      <c r="T33" s="47">
        <f t="shared" si="37"/>
        <v>1900</v>
      </c>
      <c r="U33" s="48" t="str">
        <f t="shared" si="38"/>
        <v>0</v>
      </c>
      <c r="V33" s="2047"/>
      <c r="W33" s="49">
        <v>4</v>
      </c>
      <c r="X33" s="20" t="str">
        <f t="shared" si="12"/>
        <v/>
      </c>
      <c r="Y33" s="20" t="str">
        <f t="shared" si="13"/>
        <v/>
      </c>
      <c r="Z33" s="20" t="str">
        <f t="shared" si="14"/>
        <v/>
      </c>
      <c r="AA33" s="21" t="str">
        <f t="shared" si="15"/>
        <v/>
      </c>
      <c r="AB33" s="56" t="str">
        <f t="shared" si="16"/>
        <v/>
      </c>
      <c r="AC33" s="56" t="str">
        <f t="shared" si="17"/>
        <v/>
      </c>
      <c r="AD33" s="56" t="str">
        <f t="shared" si="18"/>
        <v/>
      </c>
      <c r="AE33" s="56" t="str">
        <f t="shared" si="19"/>
        <v/>
      </c>
      <c r="AF33" s="56" t="str">
        <f t="shared" si="20"/>
        <v/>
      </c>
      <c r="AG33" s="56" t="str">
        <f t="shared" si="21"/>
        <v/>
      </c>
      <c r="AH33" s="56" t="str">
        <f t="shared" si="22"/>
        <v>□</v>
      </c>
      <c r="AI33" s="56" t="str">
        <f t="shared" si="23"/>
        <v>□</v>
      </c>
      <c r="AJ33" s="56" t="str">
        <f t="shared" si="24"/>
        <v/>
      </c>
      <c r="AK33" s="56" t="str">
        <f t="shared" si="25"/>
        <v/>
      </c>
      <c r="AL33" s="56" t="str">
        <f t="shared" si="26"/>
        <v/>
      </c>
      <c r="AM33" s="58">
        <f t="shared" si="27"/>
        <v>0</v>
      </c>
      <c r="AN33" s="47" t="e">
        <f t="shared" si="28"/>
        <v>#VALUE!</v>
      </c>
      <c r="AO33" s="48" t="e">
        <f t="shared" si="29"/>
        <v>#VALUE!</v>
      </c>
    </row>
    <row r="34" spans="2:41">
      <c r="B34" s="19" t="str">
        <f>IFERROR(RANK(U34,$U$31:$U$40,1)+COUNTIF($U$31:U34,U34)-1,"")</f>
        <v/>
      </c>
      <c r="C34" s="20" t="str">
        <f>FAMILY5AGE</f>
        <v/>
      </c>
      <c r="D34" s="20">
        <f>FAMILY5NAME</f>
        <v>0</v>
      </c>
      <c r="E34" s="20" t="str">
        <f>IF(FAMILY5RELATIONSHIP="","",VLOOKUP(FAMILY5RELATIONSHIP,FAMILYCONVERSION,2,0))</f>
        <v/>
      </c>
      <c r="F34" s="21">
        <f>FAMILY5DOB</f>
        <v>0</v>
      </c>
      <c r="G34" s="20">
        <f>FAMILY5JOB</f>
        <v>0</v>
      </c>
      <c r="H34" s="20" t="str">
        <f t="shared" si="30"/>
        <v xml:space="preserve">
</v>
      </c>
      <c r="I34" s="20" t="str">
        <f>UPPER(FAMILY5RELATIONSHIP)</f>
        <v/>
      </c>
      <c r="J34" s="38">
        <f t="shared" si="31"/>
        <v>0</v>
      </c>
      <c r="K34" s="38" t="str">
        <f>IF(J34="死亡","","年齢 "&amp;IF(APNATION="","",VLOOKUP(APNATION,FORMINFO,16,0))&amp;" ( "&amp;IF(J34="死亡","",FAMILY5AGE&amp;" 歳)"))</f>
        <v>年齢 Age (  歳)</v>
      </c>
      <c r="L34" s="38" t="str">
        <f t="shared" si="32"/>
        <v/>
      </c>
      <c r="M34" s="38" t="str">
        <f t="shared" si="33"/>
        <v>■</v>
      </c>
      <c r="N34" s="38" t="str">
        <f t="shared" si="34"/>
        <v>□</v>
      </c>
      <c r="O34" s="39" t="str">
        <f>UPPER(IF(ISBLANK(FAMILY5NAME),"",NATIONINFO))</f>
        <v/>
      </c>
      <c r="P34" s="38" t="str">
        <f>IF(FAMILY5NAME="","",VLOOKUP(NATIONINFO,NATIONS,2,0))</f>
        <v/>
      </c>
      <c r="Q34" s="38">
        <f t="shared" si="35"/>
        <v>0</v>
      </c>
      <c r="R34" s="38">
        <f t="shared" si="36"/>
        <v>0</v>
      </c>
      <c r="S34" s="38"/>
      <c r="T34" s="47">
        <f t="shared" si="37"/>
        <v>1900</v>
      </c>
      <c r="U34" s="48" t="str">
        <f t="shared" si="38"/>
        <v>0</v>
      </c>
      <c r="V34" s="2047"/>
      <c r="W34" s="49">
        <v>5</v>
      </c>
      <c r="X34" s="20" t="str">
        <f t="shared" si="12"/>
        <v/>
      </c>
      <c r="Y34" s="20" t="str">
        <f t="shared" si="13"/>
        <v/>
      </c>
      <c r="Z34" s="20" t="str">
        <f t="shared" si="14"/>
        <v/>
      </c>
      <c r="AA34" s="21" t="str">
        <f t="shared" si="15"/>
        <v/>
      </c>
      <c r="AB34" s="56" t="str">
        <f t="shared" si="16"/>
        <v/>
      </c>
      <c r="AC34" s="56" t="str">
        <f t="shared" si="17"/>
        <v/>
      </c>
      <c r="AD34" s="56" t="str">
        <f t="shared" si="18"/>
        <v/>
      </c>
      <c r="AE34" s="56" t="str">
        <f t="shared" si="19"/>
        <v/>
      </c>
      <c r="AF34" s="56" t="str">
        <f t="shared" si="20"/>
        <v/>
      </c>
      <c r="AG34" s="56" t="str">
        <f t="shared" si="21"/>
        <v/>
      </c>
      <c r="AH34" s="56" t="str">
        <f t="shared" si="22"/>
        <v>□</v>
      </c>
      <c r="AI34" s="56" t="str">
        <f t="shared" si="23"/>
        <v>□</v>
      </c>
      <c r="AJ34" s="56" t="str">
        <f t="shared" si="24"/>
        <v/>
      </c>
      <c r="AK34" s="56" t="str">
        <f t="shared" si="25"/>
        <v/>
      </c>
      <c r="AL34" s="56" t="str">
        <f t="shared" si="26"/>
        <v/>
      </c>
      <c r="AM34" s="58">
        <f t="shared" si="27"/>
        <v>0</v>
      </c>
      <c r="AN34" s="47" t="e">
        <f t="shared" si="28"/>
        <v>#VALUE!</v>
      </c>
      <c r="AO34" s="48" t="e">
        <f t="shared" si="29"/>
        <v>#VALUE!</v>
      </c>
    </row>
    <row r="35" spans="2:41">
      <c r="B35" s="19" t="str">
        <f>IFERROR(RANK(U35,$U$31:$U$40,1)+COUNTIF($U$31:U35,U35)-1,"")</f>
        <v/>
      </c>
      <c r="C35" s="20" t="str">
        <f>FAMILY6AGE</f>
        <v/>
      </c>
      <c r="D35" s="20">
        <f>FAMILY6NAME</f>
        <v>0</v>
      </c>
      <c r="E35" s="20" t="str">
        <f>IF(FAMILY6RELATIONSHIP="","",VLOOKUP(FAMILY6RELATIONSHIP,FAMILYCONVERSION,2,0))</f>
        <v/>
      </c>
      <c r="F35" s="21">
        <f>FAMILY6DOB</f>
        <v>0</v>
      </c>
      <c r="G35" s="20">
        <f>FAMILY6JOB</f>
        <v>0</v>
      </c>
      <c r="H35" s="20" t="str">
        <f t="shared" si="30"/>
        <v xml:space="preserve">
</v>
      </c>
      <c r="I35" s="20" t="str">
        <f>UPPER(FAMILY6RELATIONSHIP)</f>
        <v/>
      </c>
      <c r="J35" s="38">
        <f t="shared" si="31"/>
        <v>0</v>
      </c>
      <c r="K35" s="38" t="str">
        <f>IF(J35="死亡","","年齢 "&amp;IF(APNATION="","",VLOOKUP(APNATION,FORMINFO,16,0))&amp;" ( "&amp;IF(J35="死亡","",FAMILY6AGE&amp;" 歳)"))</f>
        <v>年齢 Age (  歳)</v>
      </c>
      <c r="L35" s="38" t="str">
        <f t="shared" si="32"/>
        <v/>
      </c>
      <c r="M35" s="38" t="str">
        <f t="shared" si="33"/>
        <v>■</v>
      </c>
      <c r="N35" s="38" t="str">
        <f t="shared" si="34"/>
        <v>□</v>
      </c>
      <c r="O35" s="39" t="str">
        <f>UPPER(IF(ISBLANK(FAMILY6NAME),"",NATIONINFO))</f>
        <v/>
      </c>
      <c r="P35" s="38" t="str">
        <f>IF(FAMILY6NAME="","",VLOOKUP(NATIONINFO,NATIONS,2,0))</f>
        <v/>
      </c>
      <c r="Q35" s="38">
        <f t="shared" si="35"/>
        <v>0</v>
      </c>
      <c r="R35" s="38">
        <f t="shared" si="36"/>
        <v>0</v>
      </c>
      <c r="S35" s="38"/>
      <c r="T35" s="47">
        <f t="shared" si="37"/>
        <v>1900</v>
      </c>
      <c r="U35" s="48" t="str">
        <f t="shared" si="38"/>
        <v>0</v>
      </c>
      <c r="V35" s="2047"/>
      <c r="W35" s="49">
        <v>6</v>
      </c>
      <c r="X35" s="20" t="str">
        <f t="shared" si="12"/>
        <v/>
      </c>
      <c r="Y35" s="20" t="str">
        <f t="shared" si="13"/>
        <v/>
      </c>
      <c r="Z35" s="20" t="str">
        <f t="shared" si="14"/>
        <v/>
      </c>
      <c r="AA35" s="21" t="str">
        <f t="shared" si="15"/>
        <v/>
      </c>
      <c r="AB35" s="56" t="str">
        <f t="shared" si="16"/>
        <v/>
      </c>
      <c r="AC35" s="56" t="str">
        <f t="shared" si="17"/>
        <v/>
      </c>
      <c r="AD35" s="56" t="str">
        <f t="shared" si="18"/>
        <v/>
      </c>
      <c r="AE35" s="56" t="str">
        <f t="shared" si="19"/>
        <v/>
      </c>
      <c r="AF35" s="56" t="str">
        <f t="shared" si="20"/>
        <v/>
      </c>
      <c r="AG35" s="56" t="str">
        <f t="shared" si="21"/>
        <v/>
      </c>
      <c r="AH35" s="56" t="str">
        <f t="shared" si="22"/>
        <v>□</v>
      </c>
      <c r="AI35" s="56" t="str">
        <f t="shared" si="23"/>
        <v>□</v>
      </c>
      <c r="AJ35" s="56" t="str">
        <f t="shared" si="24"/>
        <v/>
      </c>
      <c r="AK35" s="56" t="str">
        <f t="shared" si="25"/>
        <v/>
      </c>
      <c r="AL35" s="56" t="str">
        <f t="shared" si="26"/>
        <v/>
      </c>
      <c r="AM35" s="58">
        <f t="shared" si="27"/>
        <v>0</v>
      </c>
      <c r="AN35" s="47" t="e">
        <f t="shared" si="28"/>
        <v>#VALUE!</v>
      </c>
      <c r="AO35" s="48" t="e">
        <f t="shared" si="29"/>
        <v>#VALUE!</v>
      </c>
    </row>
    <row r="36" spans="2:41">
      <c r="B36" s="19" t="str">
        <f>IFERROR(RANK(U36,$U$31:$U$40,1)+COUNTIF($U$31:U36,U36)-1,"")</f>
        <v/>
      </c>
      <c r="C36" s="20" t="str">
        <f>FAMILY7AGE</f>
        <v/>
      </c>
      <c r="D36" s="20">
        <f>FAMILY7NAME</f>
        <v>0</v>
      </c>
      <c r="E36" s="20" t="str">
        <f>IF(FAMILY7RELATIONSHIP="","",VLOOKUP(FAMILY7RELATIONSHIP,FAMILYCONVERSION,2,0))</f>
        <v/>
      </c>
      <c r="F36" s="21">
        <f>FAMILY7DOB</f>
        <v>0</v>
      </c>
      <c r="G36" s="20">
        <f>FAMILY7JOB</f>
        <v>0</v>
      </c>
      <c r="H36" s="20" t="str">
        <f t="shared" si="30"/>
        <v xml:space="preserve">
</v>
      </c>
      <c r="I36" s="20" t="str">
        <f>UPPER(FAMILY7RELATIONSHIP)</f>
        <v/>
      </c>
      <c r="J36" s="38">
        <f t="shared" si="31"/>
        <v>0</v>
      </c>
      <c r="K36" s="38" t="str">
        <f>IF(J36="死亡","","年齢 "&amp;IF(APNATION="","",VLOOKUP(APNATION,FORMINFO,16,0))&amp;" ( "&amp;IF(J36="死亡","",FAMILY7AGE&amp;" 歳)"))</f>
        <v>年齢 Age (  歳)</v>
      </c>
      <c r="L36" s="38" t="str">
        <f t="shared" si="32"/>
        <v/>
      </c>
      <c r="M36" s="38" t="str">
        <f t="shared" si="33"/>
        <v>■</v>
      </c>
      <c r="N36" s="38" t="str">
        <f t="shared" si="34"/>
        <v>□</v>
      </c>
      <c r="O36" s="39" t="str">
        <f>UPPER(IF(ISBLANK(FAMILY7NAME),"",NATIONINFO))</f>
        <v/>
      </c>
      <c r="P36" s="38" t="str">
        <f>IF(FAMILY7NAME="","",VLOOKUP(NATIONINFO,NATIONS,2,0))</f>
        <v/>
      </c>
      <c r="Q36" s="38">
        <f t="shared" si="35"/>
        <v>0</v>
      </c>
      <c r="R36" s="38">
        <f t="shared" si="36"/>
        <v>0</v>
      </c>
      <c r="S36" s="38"/>
      <c r="T36" s="47">
        <f t="shared" si="37"/>
        <v>1900</v>
      </c>
      <c r="U36" s="48" t="str">
        <f t="shared" si="38"/>
        <v>0</v>
      </c>
      <c r="V36" s="2047"/>
      <c r="W36" s="49">
        <v>7</v>
      </c>
      <c r="X36" s="20" t="str">
        <f t="shared" si="12"/>
        <v/>
      </c>
      <c r="Y36" s="20" t="str">
        <f t="shared" si="13"/>
        <v/>
      </c>
      <c r="Z36" s="20" t="str">
        <f t="shared" si="14"/>
        <v/>
      </c>
      <c r="AA36" s="21" t="str">
        <f t="shared" si="15"/>
        <v/>
      </c>
      <c r="AB36" s="56" t="str">
        <f t="shared" si="16"/>
        <v/>
      </c>
      <c r="AC36" s="56" t="str">
        <f t="shared" si="17"/>
        <v/>
      </c>
      <c r="AD36" s="56" t="str">
        <f t="shared" si="18"/>
        <v/>
      </c>
      <c r="AE36" s="56" t="str">
        <f t="shared" si="19"/>
        <v/>
      </c>
      <c r="AF36" s="56" t="str">
        <f t="shared" si="20"/>
        <v/>
      </c>
      <c r="AG36" s="56" t="str">
        <f t="shared" si="21"/>
        <v/>
      </c>
      <c r="AH36" s="56" t="str">
        <f t="shared" si="22"/>
        <v>□</v>
      </c>
      <c r="AI36" s="56" t="str">
        <f t="shared" si="23"/>
        <v>□</v>
      </c>
      <c r="AJ36" s="56" t="str">
        <f t="shared" si="24"/>
        <v/>
      </c>
      <c r="AK36" s="56" t="str">
        <f t="shared" si="25"/>
        <v/>
      </c>
      <c r="AL36" s="56" t="str">
        <f t="shared" si="26"/>
        <v/>
      </c>
      <c r="AM36" s="58">
        <f t="shared" si="27"/>
        <v>0</v>
      </c>
      <c r="AN36" s="47" t="e">
        <f t="shared" si="28"/>
        <v>#VALUE!</v>
      </c>
      <c r="AO36" s="48" t="e">
        <f t="shared" si="29"/>
        <v>#VALUE!</v>
      </c>
    </row>
    <row r="37" spans="2:41">
      <c r="B37" s="19" t="str">
        <f>IFERROR(RANK(U37,$U$31:$U$40,1)+COUNTIF($U$31:U37,U37)-1,"")</f>
        <v/>
      </c>
      <c r="C37" s="20" t="str">
        <f>FAMILY8AGE</f>
        <v/>
      </c>
      <c r="D37" s="20">
        <f>FAMILY8NAME</f>
        <v>0</v>
      </c>
      <c r="E37" s="20" t="str">
        <f>IF(FAMILY8RELATIONSHIP="","",VLOOKUP(FAMILY8RELATIONSHIP,FAMILYCONVERSION,2,0))</f>
        <v/>
      </c>
      <c r="F37" s="21">
        <f>FAMILY8DOB</f>
        <v>0</v>
      </c>
      <c r="G37" s="20">
        <f>FAMILY8JOB</f>
        <v>0</v>
      </c>
      <c r="H37" s="20" t="str">
        <f t="shared" si="30"/>
        <v xml:space="preserve">
</v>
      </c>
      <c r="I37" s="20" t="str">
        <f>UPPER(FAMILY8RELATIONSHIP)</f>
        <v/>
      </c>
      <c r="J37" s="38">
        <f t="shared" si="31"/>
        <v>0</v>
      </c>
      <c r="K37" s="38" t="str">
        <f>IF(J37="死亡","","年齢 "&amp;IF(APNATION="","",VLOOKUP(APNATION,FORMINFO,16,0))&amp;" ( "&amp;IF(J37="死亡","",FAMILY8AGE&amp;" 歳)"))</f>
        <v>年齢 Age (  歳)</v>
      </c>
      <c r="L37" s="38" t="str">
        <f t="shared" si="32"/>
        <v/>
      </c>
      <c r="M37" s="38" t="str">
        <f t="shared" si="33"/>
        <v>■</v>
      </c>
      <c r="N37" s="38" t="str">
        <f t="shared" si="34"/>
        <v>□</v>
      </c>
      <c r="O37" s="39" t="str">
        <f>UPPER(IF(ISBLANK(FAMILY8NAME),"",NATIONINFO))</f>
        <v/>
      </c>
      <c r="P37" s="38" t="str">
        <f>IF(FAMILY8NAME="","",VLOOKUP(NATIONINFO,NATIONS,2,0))</f>
        <v/>
      </c>
      <c r="Q37" s="38">
        <f t="shared" si="35"/>
        <v>0</v>
      </c>
      <c r="R37" s="38">
        <f t="shared" si="36"/>
        <v>0</v>
      </c>
      <c r="S37" s="38"/>
      <c r="T37" s="47">
        <f t="shared" si="37"/>
        <v>1900</v>
      </c>
      <c r="U37" s="48" t="str">
        <f t="shared" si="38"/>
        <v>0</v>
      </c>
      <c r="V37" s="2047"/>
      <c r="W37" s="49">
        <v>8</v>
      </c>
      <c r="X37" s="20" t="str">
        <f t="shared" si="12"/>
        <v/>
      </c>
      <c r="Y37" s="20" t="str">
        <f t="shared" si="13"/>
        <v/>
      </c>
      <c r="Z37" s="20" t="str">
        <f t="shared" si="14"/>
        <v/>
      </c>
      <c r="AA37" s="21" t="str">
        <f t="shared" si="15"/>
        <v/>
      </c>
      <c r="AB37" s="56" t="str">
        <f t="shared" si="16"/>
        <v/>
      </c>
      <c r="AC37" s="56" t="str">
        <f t="shared" si="17"/>
        <v/>
      </c>
      <c r="AD37" s="56" t="str">
        <f t="shared" si="18"/>
        <v/>
      </c>
      <c r="AE37" s="56" t="str">
        <f t="shared" si="19"/>
        <v/>
      </c>
      <c r="AF37" s="56" t="str">
        <f t="shared" si="20"/>
        <v/>
      </c>
      <c r="AG37" s="56" t="str">
        <f t="shared" si="21"/>
        <v/>
      </c>
      <c r="AH37" s="56" t="str">
        <f t="shared" si="22"/>
        <v>□</v>
      </c>
      <c r="AI37" s="56" t="str">
        <f t="shared" si="23"/>
        <v>□</v>
      </c>
      <c r="AJ37" s="56" t="str">
        <f t="shared" si="24"/>
        <v/>
      </c>
      <c r="AK37" s="56" t="str">
        <f t="shared" si="25"/>
        <v/>
      </c>
      <c r="AL37" s="56" t="str">
        <f t="shared" si="26"/>
        <v/>
      </c>
      <c r="AM37" s="58">
        <f t="shared" si="27"/>
        <v>0</v>
      </c>
      <c r="AN37" s="47" t="e">
        <f t="shared" si="28"/>
        <v>#VALUE!</v>
      </c>
      <c r="AO37" s="48" t="e">
        <f t="shared" si="29"/>
        <v>#VALUE!</v>
      </c>
    </row>
    <row r="38" spans="2:41">
      <c r="B38" s="19" t="str">
        <f>IFERROR(RANK(U38,$U$31:$U$40,1)+COUNTIF($U$31:U38,U38)-1,"")</f>
        <v/>
      </c>
      <c r="C38" s="20" t="str">
        <f>FAMILY9AGE</f>
        <v/>
      </c>
      <c r="D38" s="20">
        <f>FAMILY9NAME</f>
        <v>0</v>
      </c>
      <c r="E38" s="20" t="str">
        <f>IF(FAMILY9RELATIONSHIP="","",VLOOKUP(FAMILY9RELATIONSHIP,FAMILYCONVERSION,2,0))</f>
        <v/>
      </c>
      <c r="F38" s="21">
        <f>FAMILY9DOB</f>
        <v>0</v>
      </c>
      <c r="G38" s="20">
        <f>FAMILY9JOB</f>
        <v>0</v>
      </c>
      <c r="H38" s="20" t="str">
        <f t="shared" si="30"/>
        <v xml:space="preserve">
</v>
      </c>
      <c r="I38" s="20" t="str">
        <f>UPPER(FAMILY9RELATIONSHIP)</f>
        <v/>
      </c>
      <c r="J38" s="38">
        <f t="shared" si="31"/>
        <v>0</v>
      </c>
      <c r="K38" s="38" t="str">
        <f>IF(J38="死亡","","年齢 "&amp;IF(APNATION="","",VLOOKUP(APNATION,FORMINFO,16,0))&amp;" ( "&amp;IF(J38="死亡","",FAMILY9AGE&amp;" 歳)"))</f>
        <v>年齢 Age (  歳)</v>
      </c>
      <c r="L38" s="38" t="str">
        <f t="shared" si="32"/>
        <v/>
      </c>
      <c r="M38" s="38" t="str">
        <f t="shared" si="33"/>
        <v>■</v>
      </c>
      <c r="N38" s="38" t="str">
        <f t="shared" si="34"/>
        <v>□</v>
      </c>
      <c r="O38" s="39" t="str">
        <f>UPPER(IF(ISBLANK(FAMILY9NAME),"",NATIONINFO))</f>
        <v/>
      </c>
      <c r="P38" s="38" t="str">
        <f>IF(FAMILY9NAME="","",VLOOKUP(NATIONINFO,NATIONS,2,0))</f>
        <v/>
      </c>
      <c r="Q38" s="38">
        <f t="shared" si="35"/>
        <v>0</v>
      </c>
      <c r="R38" s="38">
        <f t="shared" si="36"/>
        <v>0</v>
      </c>
      <c r="S38" s="38"/>
      <c r="T38" s="47">
        <f t="shared" si="37"/>
        <v>1900</v>
      </c>
      <c r="U38" s="48" t="str">
        <f t="shared" si="38"/>
        <v>0</v>
      </c>
      <c r="V38" s="2047"/>
      <c r="W38" s="49">
        <v>9</v>
      </c>
      <c r="X38" s="20" t="str">
        <f t="shared" si="12"/>
        <v/>
      </c>
      <c r="Y38" s="20" t="str">
        <f t="shared" si="13"/>
        <v/>
      </c>
      <c r="Z38" s="20" t="str">
        <f t="shared" si="14"/>
        <v/>
      </c>
      <c r="AA38" s="21" t="str">
        <f t="shared" si="15"/>
        <v/>
      </c>
      <c r="AB38" s="56" t="str">
        <f t="shared" si="16"/>
        <v/>
      </c>
      <c r="AC38" s="56" t="str">
        <f t="shared" si="17"/>
        <v/>
      </c>
      <c r="AD38" s="56" t="str">
        <f t="shared" si="18"/>
        <v/>
      </c>
      <c r="AE38" s="56" t="str">
        <f t="shared" si="19"/>
        <v/>
      </c>
      <c r="AF38" s="56" t="str">
        <f t="shared" si="20"/>
        <v/>
      </c>
      <c r="AG38" s="56" t="str">
        <f t="shared" si="21"/>
        <v/>
      </c>
      <c r="AH38" s="56" t="str">
        <f t="shared" si="22"/>
        <v>□</v>
      </c>
      <c r="AI38" s="56" t="str">
        <f t="shared" si="23"/>
        <v>□</v>
      </c>
      <c r="AJ38" s="56" t="str">
        <f t="shared" si="24"/>
        <v/>
      </c>
      <c r="AK38" s="56" t="str">
        <f t="shared" si="25"/>
        <v/>
      </c>
      <c r="AL38" s="56" t="str">
        <f t="shared" si="26"/>
        <v/>
      </c>
      <c r="AM38" s="58">
        <f t="shared" si="27"/>
        <v>0</v>
      </c>
      <c r="AN38" s="47" t="e">
        <f t="shared" si="28"/>
        <v>#VALUE!</v>
      </c>
      <c r="AO38" s="48" t="e">
        <f t="shared" si="29"/>
        <v>#VALUE!</v>
      </c>
    </row>
    <row r="39" spans="2:41">
      <c r="B39" s="19" t="str">
        <f>IFERROR(RANK(U39,$U$31:$U$40,1)+COUNTIF($U$31:U39,U39)-1,"")</f>
        <v/>
      </c>
      <c r="C39" s="20" t="str">
        <f>FAMILY10AGE</f>
        <v/>
      </c>
      <c r="D39" s="20">
        <f>FAMILY10NAME</f>
        <v>0</v>
      </c>
      <c r="E39" s="20" t="str">
        <f>IF(FAMILY10RELATIONSHIP="","",VLOOKUP(FAMILY10RELATIONSHIP,FAMILYCONVERSION,2,0))</f>
        <v/>
      </c>
      <c r="F39" s="21">
        <f>FAMILY10DOB</f>
        <v>0</v>
      </c>
      <c r="G39" s="20">
        <f>FAMILY10JOB</f>
        <v>0</v>
      </c>
      <c r="H39" s="20" t="str">
        <f t="shared" si="30"/>
        <v xml:space="preserve">
</v>
      </c>
      <c r="I39" s="20" t="str">
        <f>UPPER(FAMILY10RELATIONSHIP)</f>
        <v/>
      </c>
      <c r="J39" s="38">
        <f t="shared" si="31"/>
        <v>0</v>
      </c>
      <c r="K39" s="38" t="str">
        <f>IF(J39="死亡","","年齢 "&amp;IF(APNATION="","",VLOOKUP(APNATION,FORMINFO,16,0))&amp;" ( "&amp;IF(J39="死亡","",FAMILY10AGE&amp;" 歳)"))</f>
        <v>年齢 Age (  歳)</v>
      </c>
      <c r="L39" s="38" t="str">
        <f t="shared" si="32"/>
        <v/>
      </c>
      <c r="M39" s="38" t="str">
        <f t="shared" si="33"/>
        <v>■</v>
      </c>
      <c r="N39" s="38" t="str">
        <f t="shared" si="34"/>
        <v>□</v>
      </c>
      <c r="O39" s="39" t="str">
        <f>UPPER(IF(ISBLANK(FAMILY10NAME),"",NATIONINFO))</f>
        <v/>
      </c>
      <c r="P39" s="38" t="str">
        <f>IF(FAMILY10NAME="","",VLOOKUP(NATIONINFO,NATIONS,2,0))</f>
        <v/>
      </c>
      <c r="Q39" s="38">
        <f t="shared" si="35"/>
        <v>0</v>
      </c>
      <c r="R39" s="38">
        <f t="shared" si="36"/>
        <v>0</v>
      </c>
      <c r="S39" s="38"/>
      <c r="T39" s="47">
        <f t="shared" si="37"/>
        <v>1900</v>
      </c>
      <c r="U39" s="48" t="str">
        <f t="shared" si="38"/>
        <v>0</v>
      </c>
      <c r="V39" s="2047"/>
      <c r="W39" s="49">
        <v>10</v>
      </c>
      <c r="X39" s="20" t="str">
        <f t="shared" si="12"/>
        <v/>
      </c>
      <c r="Y39" s="20" t="str">
        <f t="shared" si="13"/>
        <v/>
      </c>
      <c r="Z39" s="20" t="str">
        <f t="shared" si="14"/>
        <v/>
      </c>
      <c r="AA39" s="21" t="str">
        <f t="shared" si="15"/>
        <v/>
      </c>
      <c r="AB39" s="56" t="str">
        <f t="shared" si="16"/>
        <v/>
      </c>
      <c r="AC39" s="56" t="str">
        <f t="shared" si="17"/>
        <v/>
      </c>
      <c r="AD39" s="56" t="str">
        <f t="shared" si="18"/>
        <v/>
      </c>
      <c r="AE39" s="56" t="str">
        <f>IFERROR(VLOOKUP($W39,FAMILYDATA,9,FALSE),"")</f>
        <v/>
      </c>
      <c r="AF39" s="56" t="str">
        <f t="shared" si="20"/>
        <v/>
      </c>
      <c r="AG39" s="56" t="str">
        <f t="shared" si="21"/>
        <v/>
      </c>
      <c r="AH39" s="56" t="str">
        <f t="shared" si="22"/>
        <v>□</v>
      </c>
      <c r="AI39" s="56" t="str">
        <f t="shared" si="23"/>
        <v>□</v>
      </c>
      <c r="AJ39" s="56" t="str">
        <f t="shared" si="24"/>
        <v/>
      </c>
      <c r="AK39" s="56" t="str">
        <f t="shared" si="25"/>
        <v/>
      </c>
      <c r="AL39" s="56" t="str">
        <f t="shared" si="26"/>
        <v/>
      </c>
      <c r="AM39" s="58">
        <f t="shared" si="27"/>
        <v>0</v>
      </c>
      <c r="AN39" s="47" t="e">
        <f t="shared" si="28"/>
        <v>#VALUE!</v>
      </c>
      <c r="AO39" s="48" t="e">
        <f t="shared" si="29"/>
        <v>#VALUE!</v>
      </c>
    </row>
    <row r="40" spans="2:41">
      <c r="B40" s="22" t="str">
        <f>IFERROR(RANK(U40,$U$31:$U$40,1)+COUNTIF($U$31:U40,U40)-1,"")</f>
        <v/>
      </c>
      <c r="C40" s="23"/>
      <c r="D40" s="23"/>
      <c r="E40" s="23"/>
      <c r="F40" s="24"/>
      <c r="G40" s="23"/>
      <c r="H40" s="23"/>
      <c r="I40" s="23"/>
      <c r="J40" s="40"/>
      <c r="K40" s="40"/>
      <c r="L40" s="40"/>
      <c r="M40" s="40"/>
      <c r="N40" s="40"/>
      <c r="O40" s="41"/>
      <c r="P40" s="40"/>
      <c r="Q40" s="40"/>
      <c r="R40" s="40"/>
      <c r="S40" s="40"/>
      <c r="T40" s="50">
        <f t="shared" si="37"/>
        <v>1900</v>
      </c>
      <c r="U40" s="51" t="str">
        <f t="shared" si="38"/>
        <v>0</v>
      </c>
      <c r="V40" s="2047"/>
      <c r="W40" s="22"/>
      <c r="X40" s="23"/>
      <c r="Y40" s="23"/>
      <c r="Z40" s="23"/>
      <c r="AA40" s="24"/>
      <c r="AB40" s="57"/>
      <c r="AC40" s="57"/>
      <c r="AD40" s="57"/>
      <c r="AE40" s="57"/>
      <c r="AF40" s="57"/>
      <c r="AG40" s="57" t="str">
        <f t="shared" si="21"/>
        <v/>
      </c>
      <c r="AH40" s="57"/>
      <c r="AI40" s="57"/>
      <c r="AJ40" s="57"/>
      <c r="AK40" s="57"/>
      <c r="AL40" s="57" t="str">
        <f t="shared" si="26"/>
        <v/>
      </c>
      <c r="AM40" s="40">
        <f>IFERROR(INDEX(FAMILYTRANSLATION,MATCH(AL40,FAMILYMATCH,0)),0)</f>
        <v>0</v>
      </c>
      <c r="AN40" s="50">
        <f t="shared" si="28"/>
        <v>1900</v>
      </c>
      <c r="AO40" s="51" t="str">
        <f t="shared" si="29"/>
        <v>0</v>
      </c>
    </row>
    <row r="41" spans="2:41">
      <c r="AC41" s="3"/>
    </row>
    <row r="42" spans="2:41">
      <c r="B42" s="2037" t="s">
        <v>1840</v>
      </c>
      <c r="C42" s="2038"/>
      <c r="D42" s="2038"/>
      <c r="E42" s="2038"/>
      <c r="F42" s="2038"/>
      <c r="G42" s="2038"/>
      <c r="H42" s="2038"/>
      <c r="I42" s="2038"/>
      <c r="J42" s="2038"/>
      <c r="K42" s="2038"/>
      <c r="L42" s="2038"/>
      <c r="M42" s="2038"/>
      <c r="N42" s="2038"/>
      <c r="O42" s="2038"/>
      <c r="P42" s="2038"/>
      <c r="Q42" s="2038"/>
      <c r="R42" s="2038"/>
      <c r="S42" s="2038"/>
      <c r="T42" s="2038"/>
      <c r="U42" s="2039"/>
      <c r="V42" s="2031" t="s">
        <v>1832</v>
      </c>
      <c r="W42" s="2043" t="s">
        <v>1841</v>
      </c>
      <c r="X42" s="2044"/>
      <c r="Y42" s="2044"/>
      <c r="Z42" s="2044"/>
      <c r="AA42" s="2044"/>
      <c r="AB42" s="2044"/>
      <c r="AC42" s="2044"/>
      <c r="AD42" s="2044"/>
      <c r="AE42" s="2044"/>
      <c r="AF42" s="2044"/>
      <c r="AG42" s="2044"/>
      <c r="AH42" s="2044"/>
      <c r="AI42" s="2044"/>
      <c r="AJ42" s="2044"/>
      <c r="AK42" s="2044"/>
      <c r="AL42" s="2044"/>
      <c r="AM42" s="2045"/>
    </row>
    <row r="43" spans="2:41">
      <c r="B43" s="25"/>
      <c r="C43" s="26" t="s">
        <v>1834</v>
      </c>
      <c r="D43" s="26" t="s">
        <v>1835</v>
      </c>
      <c r="E43" s="26" t="s">
        <v>10</v>
      </c>
      <c r="F43" s="26" t="s">
        <v>1836</v>
      </c>
      <c r="G43" s="26" t="s">
        <v>1837</v>
      </c>
      <c r="H43" s="26" t="s">
        <v>1838</v>
      </c>
      <c r="I43" s="26" t="s">
        <v>1839</v>
      </c>
      <c r="J43" s="42"/>
      <c r="K43" s="42"/>
      <c r="L43" s="42"/>
      <c r="M43" s="42"/>
      <c r="N43" s="42"/>
      <c r="O43" s="42"/>
      <c r="P43" s="42"/>
      <c r="Q43" s="42"/>
      <c r="R43" s="42"/>
      <c r="S43" s="42"/>
      <c r="T43" s="52"/>
      <c r="U43" s="53"/>
      <c r="V43" s="2031"/>
      <c r="W43" s="45">
        <v>1</v>
      </c>
      <c r="X43" s="46" t="str">
        <f t="shared" ref="X43:X51" si="39">IFERROR(VLOOKUP($W43,FAMILYDATA,2,FALSE),"")</f>
        <v/>
      </c>
      <c r="Y43" s="46" t="str">
        <f t="shared" ref="Y43:Y51" si="40">IFERROR(VLOOKUP($W43,FAMILYDATA,3,FALSE),"")</f>
        <v/>
      </c>
      <c r="Z43" s="46" t="str">
        <f t="shared" ref="Z43:Z51" si="41">IFERROR(VLOOKUP($W43,FAMILYDATA,4,FALSE),"")</f>
        <v/>
      </c>
      <c r="AA43" s="54" t="str">
        <f t="shared" ref="AA43:AA51" si="42">IFERROR(VLOOKUP($W43,FAMILYDATA,5,FALSE),"")</f>
        <v/>
      </c>
      <c r="AB43" s="55" t="str">
        <f t="shared" ref="AB43:AB51" si="43">IFERROR(VLOOKUP($W43,FAMILYDATA,6,FALSE),"")</f>
        <v/>
      </c>
      <c r="AC43" s="55" t="str">
        <f t="shared" ref="AC43:AC51" si="44">IFERROR(VLOOKUP($W43,FAMILYDATA,7,FALSE),"")</f>
        <v/>
      </c>
      <c r="AD43" s="55" t="str">
        <f t="shared" ref="AD43:AD51" si="45">IFERROR(VLOOKUP($W43,FAMILYDATA,8,FALSE),"")</f>
        <v/>
      </c>
      <c r="AE43" s="55" t="str">
        <f t="shared" ref="AE43:AE51" si="46">IFERROR(VLOOKUP($W43,FAMILYDATA,9,FALSE),"")</f>
        <v/>
      </c>
      <c r="AF43" s="55" t="str">
        <f t="shared" ref="AF43:AF51" si="47">IFERROR(VLOOKUP($W43,FAMILYDATA,10,FALSE),"")</f>
        <v/>
      </c>
      <c r="AG43" s="55" t="str">
        <f t="shared" ref="AG43:AG51" si="48">IFERROR(VLOOKUP($W43,FAMILYDATA,11,FALSE),"")</f>
        <v/>
      </c>
      <c r="AH43" s="55" t="str">
        <f t="shared" ref="AH43:AH51" si="49">IFERROR(VLOOKUP($W43,FAMILYDATA,12,FALSE),$G$27)</f>
        <v>□</v>
      </c>
      <c r="AI43" s="55" t="str">
        <f t="shared" ref="AI43:AI51" si="50">IFERROR(VLOOKUP($W43,FAMILYDATA,13,FALSE),$G$27)</f>
        <v>□</v>
      </c>
      <c r="AJ43" s="55" t="str">
        <f t="shared" ref="AJ43:AJ51" si="51">IFERROR(VLOOKUP($W43,FAMILYDATA,14,FALSE),"")</f>
        <v/>
      </c>
      <c r="AK43" s="55" t="str">
        <f t="shared" ref="AK43:AK51" si="52">IFERROR(VLOOKUP($W43,FAMILYDATA,15,FALSE),"")</f>
        <v/>
      </c>
      <c r="AL43" s="56" t="str">
        <f t="shared" ref="AL43:AL51" si="53">IFERROR(VLOOKUP($W43,FAMILYDATA,9,FALSE),"")</f>
        <v/>
      </c>
      <c r="AM43" s="59"/>
    </row>
    <row r="44" spans="2:41">
      <c r="B44" s="19" t="str">
        <f>IFERROR(RANK(U44,$U$44:$U$53,1)+COUNTIF($U$44:U44,U44)-1,"")</f>
        <v/>
      </c>
      <c r="C44" s="20">
        <f>STUDENTAGE</f>
        <v>124</v>
      </c>
      <c r="D44" s="20" t="str">
        <f>STUDENTNAME</f>
        <v/>
      </c>
      <c r="E44" s="27" t="str">
        <f>UPPER(IF(APPLICANTGENDERSELECT="","",VLOOKUP(APPLICANTGENDERSELECT,FORMGENDER,2,0)))</f>
        <v>F</v>
      </c>
      <c r="F44" s="21">
        <f>Information!F7</f>
        <v>0</v>
      </c>
      <c r="G44" s="20">
        <f>Information!AB8</f>
        <v>0</v>
      </c>
      <c r="H44" s="20" t="str">
        <f>K4</f>
        <v xml:space="preserve">
</v>
      </c>
      <c r="I44" s="20"/>
      <c r="J44" s="38">
        <f t="shared" ref="J44:J52" si="54">IFERROR(INDEX(JOBSINDEX,MATCH(G44,JOBSMATCH,0)),0)</f>
        <v>0</v>
      </c>
      <c r="K44" s="38" t="str">
        <f>IF(J44="死亡","","年齢"&amp;IF(APNATION="","",VLOOKUP(APNATION,FORMINFO,16,0))&amp;" ( "&amp;IF(J44="死亡","",STUDENTAGE&amp;" 歳)"))</f>
        <v>年齢Age ( 124 歳)</v>
      </c>
      <c r="L44" s="38" t="str">
        <f t="shared" ref="L44:L53" si="55">IFERROR(VLOOKUP(E44,GENDERTRANSLATION,2,0),"")</f>
        <v>女</v>
      </c>
      <c r="M44" s="20" t="str">
        <f>AA4</f>
        <v>■</v>
      </c>
      <c r="N44" s="38" t="str">
        <f t="shared" ref="N44:N52" si="56">IF(M44=$F$27,$G$27,$F$27)</f>
        <v>□</v>
      </c>
      <c r="O44" s="39" t="str">
        <f>UPPER(IF(ISBLANK(STUDENTNAME),"",NATIONINFO))</f>
        <v/>
      </c>
      <c r="P44" s="38" t="str">
        <f>IF(NATIONINFO="","",VLOOKUP(NATIONINFO,NATIONS,2,0))</f>
        <v/>
      </c>
      <c r="Q44" s="38">
        <f t="shared" ref="Q44:Q52" si="57">IFERROR(VLOOKUP(I44,FAMCHANGE,2,0),0)</f>
        <v>0</v>
      </c>
      <c r="R44" s="38">
        <f t="shared" ref="R44:R52" si="58">IFERROR(INDEX(JOBSINDEX,MATCH(G44,JOBSMATCH,0)),0)</f>
        <v>0</v>
      </c>
      <c r="S44" s="38"/>
      <c r="T44" s="47">
        <f>IF(SPONSORRELATIONSHIP="Myself","",YEAR(F44))</f>
        <v>1900</v>
      </c>
      <c r="U44" s="48" t="str">
        <f>IFERROR(IF(T44=1900,"0",T44),"0")</f>
        <v>0</v>
      </c>
      <c r="V44" s="2031"/>
      <c r="W44" s="49">
        <v>2</v>
      </c>
      <c r="X44" s="20" t="str">
        <f t="shared" si="39"/>
        <v/>
      </c>
      <c r="Y44" s="20" t="str">
        <f t="shared" si="40"/>
        <v/>
      </c>
      <c r="Z44" s="20" t="str">
        <f t="shared" si="41"/>
        <v/>
      </c>
      <c r="AA44" s="21" t="str">
        <f t="shared" si="42"/>
        <v/>
      </c>
      <c r="AB44" s="56" t="str">
        <f t="shared" si="43"/>
        <v/>
      </c>
      <c r="AC44" s="56" t="str">
        <f t="shared" si="44"/>
        <v/>
      </c>
      <c r="AD44" s="56" t="str">
        <f t="shared" si="45"/>
        <v/>
      </c>
      <c r="AE44" s="56" t="str">
        <f t="shared" si="46"/>
        <v/>
      </c>
      <c r="AF44" s="56" t="str">
        <f t="shared" si="47"/>
        <v/>
      </c>
      <c r="AG44" s="56" t="str">
        <f t="shared" si="48"/>
        <v/>
      </c>
      <c r="AH44" s="56" t="str">
        <f t="shared" si="49"/>
        <v>□</v>
      </c>
      <c r="AI44" s="56" t="str">
        <f t="shared" si="50"/>
        <v>□</v>
      </c>
      <c r="AJ44" s="56" t="str">
        <f t="shared" si="51"/>
        <v/>
      </c>
      <c r="AK44" s="56" t="str">
        <f t="shared" si="52"/>
        <v/>
      </c>
      <c r="AL44" s="56" t="str">
        <f t="shared" si="53"/>
        <v/>
      </c>
      <c r="AM44" s="60"/>
    </row>
    <row r="45" spans="2:41">
      <c r="B45" s="19" t="str">
        <f>IFERROR(RANK(U45,$U$44:$U$53,1)+COUNTIF($U$44:U45,U45)-1,"")</f>
        <v/>
      </c>
      <c r="C45" s="20" t="str">
        <f>FAMILY2AGE</f>
        <v/>
      </c>
      <c r="D45" s="20">
        <f>FAMILY2NAME</f>
        <v>0</v>
      </c>
      <c r="E45" s="20" t="str">
        <f>UPPER(IF(FAMILY2RELATIONSHIP="","",VLOOKUP(FAMILY2RELATIONSHIP,FAMILYCONVERSION,2,0)))</f>
        <v/>
      </c>
      <c r="F45" s="21">
        <f>FAMILY2DOB</f>
        <v>0</v>
      </c>
      <c r="G45" s="20">
        <f>FAMILY2JOB</f>
        <v>0</v>
      </c>
      <c r="H45" s="20" t="str">
        <f t="shared" ref="H45:H52" si="59">K6</f>
        <v xml:space="preserve">
</v>
      </c>
      <c r="I45" s="20" t="str">
        <f>UPPER(FAMILY2RELATIONSHIP)</f>
        <v/>
      </c>
      <c r="J45" s="38">
        <f t="shared" si="54"/>
        <v>0</v>
      </c>
      <c r="K45" s="38" t="str">
        <f>IF(J45="死亡","","年齢"&amp;IF(APNATION="","",VLOOKUP(APNATION,FORMINFO,16,0))&amp;" ( "&amp;IF(J45="死亡","",FAMILY2AGE&amp;" 歳)"))</f>
        <v>年齢Age (  歳)</v>
      </c>
      <c r="L45" s="38" t="str">
        <f t="shared" si="55"/>
        <v/>
      </c>
      <c r="M45" s="38" t="str">
        <f t="shared" ref="M45:M52" si="60">AA6</f>
        <v>■</v>
      </c>
      <c r="N45" s="38" t="str">
        <f t="shared" si="56"/>
        <v>□</v>
      </c>
      <c r="O45" s="39" t="str">
        <f>UPPER(IF(ISBLANK(FAMILY2NAME),"",NATIONINFO))</f>
        <v/>
      </c>
      <c r="P45" s="38" t="str">
        <f>IF(FAMILY2NAME="","",VLOOKUP(NATIONINFO,NATIONS,2,0))</f>
        <v/>
      </c>
      <c r="Q45" s="38">
        <f t="shared" si="57"/>
        <v>0</v>
      </c>
      <c r="R45" s="38">
        <f t="shared" si="58"/>
        <v>0</v>
      </c>
      <c r="S45" s="38"/>
      <c r="T45" s="47">
        <f t="shared" ref="T45:T53" si="61">YEAR(F45)</f>
        <v>1900</v>
      </c>
      <c r="U45" s="48" t="str">
        <f t="shared" ref="U45:U53" si="62">IF(T45=1900,"0",T45)</f>
        <v>0</v>
      </c>
      <c r="V45" s="2031"/>
      <c r="W45" s="49">
        <v>3</v>
      </c>
      <c r="X45" s="20" t="str">
        <f t="shared" si="39"/>
        <v/>
      </c>
      <c r="Y45" s="20" t="str">
        <f t="shared" si="40"/>
        <v/>
      </c>
      <c r="Z45" s="20" t="str">
        <f t="shared" si="41"/>
        <v/>
      </c>
      <c r="AA45" s="21" t="str">
        <f t="shared" si="42"/>
        <v/>
      </c>
      <c r="AB45" s="56" t="str">
        <f t="shared" si="43"/>
        <v/>
      </c>
      <c r="AC45" s="56" t="str">
        <f t="shared" si="44"/>
        <v/>
      </c>
      <c r="AD45" s="56" t="str">
        <f t="shared" si="45"/>
        <v/>
      </c>
      <c r="AE45" s="56" t="str">
        <f t="shared" si="46"/>
        <v/>
      </c>
      <c r="AF45" s="56" t="str">
        <f t="shared" si="47"/>
        <v/>
      </c>
      <c r="AG45" s="56" t="str">
        <f t="shared" si="48"/>
        <v/>
      </c>
      <c r="AH45" s="56" t="str">
        <f t="shared" si="49"/>
        <v>□</v>
      </c>
      <c r="AI45" s="56" t="str">
        <f t="shared" si="50"/>
        <v>□</v>
      </c>
      <c r="AJ45" s="56" t="str">
        <f t="shared" si="51"/>
        <v/>
      </c>
      <c r="AK45" s="56" t="str">
        <f t="shared" si="52"/>
        <v/>
      </c>
      <c r="AL45" s="56" t="str">
        <f t="shared" si="53"/>
        <v/>
      </c>
      <c r="AM45" s="60"/>
    </row>
    <row r="46" spans="2:41">
      <c r="B46" s="19" t="str">
        <f>IFERROR(RANK(U46,$U$44:$U$53,1)+COUNTIF($U$44:U46,U46)-1,"")</f>
        <v/>
      </c>
      <c r="C46" s="20" t="str">
        <f>FAMILY4AGE</f>
        <v/>
      </c>
      <c r="D46" s="20">
        <f>FAMILY4NAME</f>
        <v>0</v>
      </c>
      <c r="E46" s="20" t="str">
        <f>UPPER(IF(FAMILY4RELATIONSHIP="","",VLOOKUP(FAMILY4RELATIONSHIP,FAMILYCONVERSION,2,0)))</f>
        <v/>
      </c>
      <c r="F46" s="21">
        <f>FAMILY4DOB</f>
        <v>0</v>
      </c>
      <c r="G46" s="20">
        <f>FAMILY4JOB</f>
        <v>0</v>
      </c>
      <c r="H46" s="20" t="str">
        <f t="shared" si="59"/>
        <v xml:space="preserve">
</v>
      </c>
      <c r="I46" s="20" t="str">
        <f>UPPER(FAMILY4RELATIONSHIP)</f>
        <v/>
      </c>
      <c r="J46" s="38">
        <f t="shared" si="54"/>
        <v>0</v>
      </c>
      <c r="K46" s="38" t="str">
        <f>IF(J46="死亡","","年齢 "&amp;IF(APNATION="","",VLOOKUP(APNATION,FORMINFO,16,0))&amp;" ( "&amp;IF(J46="死亡","",FAMILY4AGE&amp;" 歳)"))</f>
        <v>年齢 Age (  歳)</v>
      </c>
      <c r="L46" s="38" t="str">
        <f t="shared" si="55"/>
        <v/>
      </c>
      <c r="M46" s="38" t="str">
        <f t="shared" si="60"/>
        <v>■</v>
      </c>
      <c r="N46" s="38" t="str">
        <f t="shared" si="56"/>
        <v>□</v>
      </c>
      <c r="O46" s="39" t="str">
        <f>UPPER(IF(ISBLANK(FAMILY4NAME),"",NATIONINFO))</f>
        <v/>
      </c>
      <c r="P46" s="38" t="str">
        <f>IF(FAMILY4NAME="","",VLOOKUP(NATIONINFO,NATIONS,2,0))</f>
        <v/>
      </c>
      <c r="Q46" s="38">
        <f t="shared" si="57"/>
        <v>0</v>
      </c>
      <c r="R46" s="38">
        <f t="shared" si="58"/>
        <v>0</v>
      </c>
      <c r="S46" s="38"/>
      <c r="T46" s="47">
        <f t="shared" si="61"/>
        <v>1900</v>
      </c>
      <c r="U46" s="48" t="str">
        <f t="shared" si="62"/>
        <v>0</v>
      </c>
      <c r="V46" s="2031"/>
      <c r="W46" s="49">
        <v>4</v>
      </c>
      <c r="X46" s="20" t="str">
        <f t="shared" si="39"/>
        <v/>
      </c>
      <c r="Y46" s="20" t="str">
        <f t="shared" si="40"/>
        <v/>
      </c>
      <c r="Z46" s="20" t="str">
        <f t="shared" si="41"/>
        <v/>
      </c>
      <c r="AA46" s="21" t="str">
        <f t="shared" si="42"/>
        <v/>
      </c>
      <c r="AB46" s="56" t="str">
        <f t="shared" si="43"/>
        <v/>
      </c>
      <c r="AC46" s="56" t="str">
        <f t="shared" si="44"/>
        <v/>
      </c>
      <c r="AD46" s="56" t="str">
        <f t="shared" si="45"/>
        <v/>
      </c>
      <c r="AE46" s="56" t="str">
        <f t="shared" si="46"/>
        <v/>
      </c>
      <c r="AF46" s="56" t="str">
        <f t="shared" si="47"/>
        <v/>
      </c>
      <c r="AG46" s="56" t="str">
        <f t="shared" si="48"/>
        <v/>
      </c>
      <c r="AH46" s="56" t="str">
        <f t="shared" si="49"/>
        <v>□</v>
      </c>
      <c r="AI46" s="56" t="str">
        <f t="shared" si="50"/>
        <v>□</v>
      </c>
      <c r="AJ46" s="56" t="str">
        <f t="shared" si="51"/>
        <v/>
      </c>
      <c r="AK46" s="56" t="str">
        <f t="shared" si="52"/>
        <v/>
      </c>
      <c r="AL46" s="56" t="str">
        <f t="shared" si="53"/>
        <v/>
      </c>
      <c r="AM46" s="60"/>
    </row>
    <row r="47" spans="2:41">
      <c r="B47" s="19" t="str">
        <f>IFERROR(RANK(U47,$U$44:$U$53,1)+COUNTIF($U$44:U47,U47)-1,"")</f>
        <v/>
      </c>
      <c r="C47" s="20" t="str">
        <f>FAMILY5AGE</f>
        <v/>
      </c>
      <c r="D47" s="20">
        <f>FAMILY5NAME</f>
        <v>0</v>
      </c>
      <c r="E47" s="20" t="str">
        <f>IF(FAMILY5RELATIONSHIP="","",VLOOKUP(FAMILY5RELATIONSHIP,FAMILYCONVERSION,2,0))</f>
        <v/>
      </c>
      <c r="F47" s="21">
        <f>FAMILY5DOB</f>
        <v>0</v>
      </c>
      <c r="G47" s="20">
        <f>FAMILY5JOB</f>
        <v>0</v>
      </c>
      <c r="H47" s="20" t="str">
        <f t="shared" si="59"/>
        <v xml:space="preserve">
</v>
      </c>
      <c r="I47" s="20" t="str">
        <f>UPPER(FAMILY5RELATIONSHIP)</f>
        <v/>
      </c>
      <c r="J47" s="38">
        <f t="shared" si="54"/>
        <v>0</v>
      </c>
      <c r="K47" s="38" t="str">
        <f>IF(J47="死亡","","年齢 "&amp;IF(APNATION="","",VLOOKUP(APNATION,FORMINFO,16,0))&amp;" ( "&amp;IF(J47="死亡","",FAMILY5AGE&amp;" 歳)"))</f>
        <v>年齢 Age (  歳)</v>
      </c>
      <c r="L47" s="38" t="str">
        <f t="shared" si="55"/>
        <v/>
      </c>
      <c r="M47" s="38" t="str">
        <f t="shared" si="60"/>
        <v>■</v>
      </c>
      <c r="N47" s="38" t="str">
        <f t="shared" si="56"/>
        <v>□</v>
      </c>
      <c r="O47" s="39" t="str">
        <f>UPPER(IF(ISBLANK(FAMILY5NAME),"",NATIONINFO))</f>
        <v/>
      </c>
      <c r="P47" s="38" t="str">
        <f>IF(FAMILY5NAME="","",VLOOKUP(NATIONINFO,NATIONS,2,0))</f>
        <v/>
      </c>
      <c r="Q47" s="38">
        <f t="shared" si="57"/>
        <v>0</v>
      </c>
      <c r="R47" s="38">
        <f t="shared" si="58"/>
        <v>0</v>
      </c>
      <c r="S47" s="38"/>
      <c r="T47" s="47">
        <f t="shared" si="61"/>
        <v>1900</v>
      </c>
      <c r="U47" s="48" t="str">
        <f t="shared" si="62"/>
        <v>0</v>
      </c>
      <c r="V47" s="2031"/>
      <c r="W47" s="49">
        <v>5</v>
      </c>
      <c r="X47" s="20" t="str">
        <f t="shared" si="39"/>
        <v/>
      </c>
      <c r="Y47" s="20" t="str">
        <f t="shared" si="40"/>
        <v/>
      </c>
      <c r="Z47" s="20" t="str">
        <f t="shared" si="41"/>
        <v/>
      </c>
      <c r="AA47" s="21" t="str">
        <f t="shared" si="42"/>
        <v/>
      </c>
      <c r="AB47" s="56" t="str">
        <f t="shared" si="43"/>
        <v/>
      </c>
      <c r="AC47" s="56" t="str">
        <f t="shared" si="44"/>
        <v/>
      </c>
      <c r="AD47" s="56" t="str">
        <f t="shared" si="45"/>
        <v/>
      </c>
      <c r="AE47" s="56" t="str">
        <f t="shared" si="46"/>
        <v/>
      </c>
      <c r="AF47" s="56" t="str">
        <f t="shared" si="47"/>
        <v/>
      </c>
      <c r="AG47" s="56" t="str">
        <f t="shared" si="48"/>
        <v/>
      </c>
      <c r="AH47" s="56" t="str">
        <f t="shared" si="49"/>
        <v>□</v>
      </c>
      <c r="AI47" s="56" t="str">
        <f t="shared" si="50"/>
        <v>□</v>
      </c>
      <c r="AJ47" s="56" t="str">
        <f t="shared" si="51"/>
        <v/>
      </c>
      <c r="AK47" s="56" t="str">
        <f t="shared" si="52"/>
        <v/>
      </c>
      <c r="AL47" s="56" t="str">
        <f t="shared" si="53"/>
        <v/>
      </c>
      <c r="AM47" s="60"/>
    </row>
    <row r="48" spans="2:41">
      <c r="B48" s="19" t="str">
        <f>IFERROR(RANK(U48,$U$44:$U$53,1)+COUNTIF($U$44:U48,U48)-1,"")</f>
        <v/>
      </c>
      <c r="C48" s="20" t="str">
        <f>FAMILY6AGE</f>
        <v/>
      </c>
      <c r="D48" s="20">
        <f>FAMILY6NAME</f>
        <v>0</v>
      </c>
      <c r="E48" s="20" t="str">
        <f>IF(FAMILY6RELATIONSHIP="","",VLOOKUP(FAMILY6RELATIONSHIP,FAMILYCONVERSION,2,0))</f>
        <v/>
      </c>
      <c r="F48" s="21">
        <f>FAMILY6DOB</f>
        <v>0</v>
      </c>
      <c r="G48" s="20">
        <f>FAMILY6JOB</f>
        <v>0</v>
      </c>
      <c r="H48" s="20" t="str">
        <f t="shared" si="59"/>
        <v xml:space="preserve">
</v>
      </c>
      <c r="I48" s="20" t="str">
        <f>UPPER(FAMILY6RELATIONSHIP)</f>
        <v/>
      </c>
      <c r="J48" s="38">
        <f t="shared" si="54"/>
        <v>0</v>
      </c>
      <c r="K48" s="38" t="str">
        <f>IF(J48="死亡","","年齢 "&amp;IF(APNATION="","",VLOOKUP(APNATION,FORMINFO,16,0))&amp;" ( "&amp;IF(J48="死亡","",FAMILY6AGE&amp;" 歳)"))</f>
        <v>年齢 Age (  歳)</v>
      </c>
      <c r="L48" s="38" t="str">
        <f t="shared" si="55"/>
        <v/>
      </c>
      <c r="M48" s="38" t="str">
        <f t="shared" si="60"/>
        <v>■</v>
      </c>
      <c r="N48" s="38" t="str">
        <f t="shared" si="56"/>
        <v>□</v>
      </c>
      <c r="O48" s="39" t="str">
        <f>UPPER(IF(ISBLANK(FAMILY6NAME),"",NATIONINFO))</f>
        <v/>
      </c>
      <c r="P48" s="38" t="str">
        <f>IF(FAMILY6NAME="","",VLOOKUP(NATIONINFO,NATIONS,2,0))</f>
        <v/>
      </c>
      <c r="Q48" s="38">
        <f t="shared" si="57"/>
        <v>0</v>
      </c>
      <c r="R48" s="38">
        <f t="shared" si="58"/>
        <v>0</v>
      </c>
      <c r="S48" s="38"/>
      <c r="T48" s="47">
        <f t="shared" si="61"/>
        <v>1900</v>
      </c>
      <c r="U48" s="48" t="str">
        <f t="shared" si="62"/>
        <v>0</v>
      </c>
      <c r="V48" s="2031"/>
      <c r="W48" s="49">
        <v>6</v>
      </c>
      <c r="X48" s="20" t="str">
        <f t="shared" si="39"/>
        <v/>
      </c>
      <c r="Y48" s="20" t="str">
        <f t="shared" si="40"/>
        <v/>
      </c>
      <c r="Z48" s="20" t="str">
        <f t="shared" si="41"/>
        <v/>
      </c>
      <c r="AA48" s="21" t="str">
        <f t="shared" si="42"/>
        <v/>
      </c>
      <c r="AB48" s="56" t="str">
        <f t="shared" si="43"/>
        <v/>
      </c>
      <c r="AC48" s="56" t="str">
        <f t="shared" si="44"/>
        <v/>
      </c>
      <c r="AD48" s="56" t="str">
        <f t="shared" si="45"/>
        <v/>
      </c>
      <c r="AE48" s="56" t="str">
        <f t="shared" si="46"/>
        <v/>
      </c>
      <c r="AF48" s="56" t="str">
        <f t="shared" si="47"/>
        <v/>
      </c>
      <c r="AG48" s="56" t="str">
        <f t="shared" si="48"/>
        <v/>
      </c>
      <c r="AH48" s="56" t="str">
        <f t="shared" si="49"/>
        <v>□</v>
      </c>
      <c r="AI48" s="56" t="str">
        <f t="shared" si="50"/>
        <v>□</v>
      </c>
      <c r="AJ48" s="56" t="str">
        <f t="shared" si="51"/>
        <v/>
      </c>
      <c r="AK48" s="56" t="str">
        <f t="shared" si="52"/>
        <v/>
      </c>
      <c r="AL48" s="56" t="str">
        <f t="shared" si="53"/>
        <v/>
      </c>
      <c r="AM48" s="60"/>
    </row>
    <row r="49" spans="2:39">
      <c r="B49" s="19" t="str">
        <f>IFERROR(RANK(U49,$U$44:$U$53,1)+COUNTIF($U$44:U49,U49)-1,"")</f>
        <v/>
      </c>
      <c r="C49" s="20" t="str">
        <f>FAMILY7AGE</f>
        <v/>
      </c>
      <c r="D49" s="20">
        <f>FAMILY7NAME</f>
        <v>0</v>
      </c>
      <c r="E49" s="20" t="str">
        <f>IF(FAMILY7RELATIONSHIP="","",VLOOKUP(FAMILY7RELATIONSHIP,FAMILYCONVERSION,2,0))</f>
        <v/>
      </c>
      <c r="F49" s="21">
        <f>FAMILY7DOB</f>
        <v>0</v>
      </c>
      <c r="G49" s="20">
        <f>FAMILY7JOB</f>
        <v>0</v>
      </c>
      <c r="H49" s="20" t="str">
        <f t="shared" si="59"/>
        <v xml:space="preserve">
</v>
      </c>
      <c r="I49" s="20" t="str">
        <f>UPPER(FAMILY7RELATIONSHIP)</f>
        <v/>
      </c>
      <c r="J49" s="38">
        <f t="shared" si="54"/>
        <v>0</v>
      </c>
      <c r="K49" s="38" t="str">
        <f>IF(J49="死亡","","年齢 "&amp;IF(APNATION="","",VLOOKUP(APNATION,FORMINFO,16,0))&amp;" ( "&amp;IF(J49="死亡","",FAMILY7AGE&amp;" 歳)"))</f>
        <v>年齢 Age (  歳)</v>
      </c>
      <c r="L49" s="38" t="str">
        <f t="shared" si="55"/>
        <v/>
      </c>
      <c r="M49" s="38" t="str">
        <f t="shared" si="60"/>
        <v>■</v>
      </c>
      <c r="N49" s="38" t="str">
        <f t="shared" si="56"/>
        <v>□</v>
      </c>
      <c r="O49" s="39" t="str">
        <f>UPPER(IF(ISBLANK(FAMILY7NAME),"",NATIONINFO))</f>
        <v/>
      </c>
      <c r="P49" s="38" t="str">
        <f>IF(FAMILY7NAME="","",VLOOKUP(NATIONINFO,NATIONS,2,0))</f>
        <v/>
      </c>
      <c r="Q49" s="38">
        <f t="shared" si="57"/>
        <v>0</v>
      </c>
      <c r="R49" s="38">
        <f t="shared" si="58"/>
        <v>0</v>
      </c>
      <c r="S49" s="38"/>
      <c r="T49" s="47">
        <f t="shared" si="61"/>
        <v>1900</v>
      </c>
      <c r="U49" s="48" t="str">
        <f t="shared" si="62"/>
        <v>0</v>
      </c>
      <c r="V49" s="2031"/>
      <c r="W49" s="49">
        <v>7</v>
      </c>
      <c r="X49" s="20" t="str">
        <f t="shared" si="39"/>
        <v/>
      </c>
      <c r="Y49" s="20" t="str">
        <f t="shared" si="40"/>
        <v/>
      </c>
      <c r="Z49" s="20" t="str">
        <f t="shared" si="41"/>
        <v/>
      </c>
      <c r="AA49" s="21" t="str">
        <f t="shared" si="42"/>
        <v/>
      </c>
      <c r="AB49" s="56" t="str">
        <f t="shared" si="43"/>
        <v/>
      </c>
      <c r="AC49" s="56" t="str">
        <f t="shared" si="44"/>
        <v/>
      </c>
      <c r="AD49" s="56" t="str">
        <f t="shared" si="45"/>
        <v/>
      </c>
      <c r="AE49" s="56" t="str">
        <f t="shared" si="46"/>
        <v/>
      </c>
      <c r="AF49" s="56" t="str">
        <f t="shared" si="47"/>
        <v/>
      </c>
      <c r="AG49" s="56" t="str">
        <f t="shared" si="48"/>
        <v/>
      </c>
      <c r="AH49" s="56" t="str">
        <f t="shared" si="49"/>
        <v>□</v>
      </c>
      <c r="AI49" s="56" t="str">
        <f t="shared" si="50"/>
        <v>□</v>
      </c>
      <c r="AJ49" s="56" t="str">
        <f t="shared" si="51"/>
        <v/>
      </c>
      <c r="AK49" s="56" t="str">
        <f t="shared" si="52"/>
        <v/>
      </c>
      <c r="AL49" s="56" t="str">
        <f t="shared" si="53"/>
        <v/>
      </c>
      <c r="AM49" s="60"/>
    </row>
    <row r="50" spans="2:39">
      <c r="B50" s="19" t="str">
        <f>IFERROR(RANK(U50,$U$44:$U$53,1)+COUNTIF($U$44:U50,U50)-1,"")</f>
        <v/>
      </c>
      <c r="C50" s="20" t="str">
        <f>FAMILY8AGE</f>
        <v/>
      </c>
      <c r="D50" s="20">
        <f>FAMILY8NAME</f>
        <v>0</v>
      </c>
      <c r="E50" s="20" t="str">
        <f>IF(FAMILY8RELATIONSHIP="","",VLOOKUP(FAMILY8RELATIONSHIP,FAMILYCONVERSION,2,0))</f>
        <v/>
      </c>
      <c r="F50" s="21">
        <f>FAMILY8DOB</f>
        <v>0</v>
      </c>
      <c r="G50" s="20">
        <f>FAMILY8JOB</f>
        <v>0</v>
      </c>
      <c r="H50" s="20" t="str">
        <f t="shared" si="59"/>
        <v xml:space="preserve">
</v>
      </c>
      <c r="I50" s="20" t="str">
        <f>UPPER(FAMILY8RELATIONSHIP)</f>
        <v/>
      </c>
      <c r="J50" s="38">
        <f t="shared" si="54"/>
        <v>0</v>
      </c>
      <c r="K50" s="38" t="str">
        <f>IF(J50="死亡","","年齢 "&amp;IF(APNATION="","",VLOOKUP(APNATION,FORMINFO,16,0))&amp;" ( "&amp;IF(J50="死亡","",FAMILY8AGE&amp;" 歳)"))</f>
        <v>年齢 Age (  歳)</v>
      </c>
      <c r="L50" s="38" t="str">
        <f t="shared" si="55"/>
        <v/>
      </c>
      <c r="M50" s="38" t="str">
        <f t="shared" si="60"/>
        <v>■</v>
      </c>
      <c r="N50" s="38" t="str">
        <f t="shared" si="56"/>
        <v>□</v>
      </c>
      <c r="O50" s="39" t="str">
        <f>UPPER(IF(ISBLANK(FAMILY8NAME),"",NATIONINFO))</f>
        <v/>
      </c>
      <c r="P50" s="38" t="str">
        <f>IF(FAMILY8NAME="","",VLOOKUP(NATIONINFO,NATIONS,2,0))</f>
        <v/>
      </c>
      <c r="Q50" s="38">
        <f t="shared" si="57"/>
        <v>0</v>
      </c>
      <c r="R50" s="38">
        <f t="shared" si="58"/>
        <v>0</v>
      </c>
      <c r="S50" s="38"/>
      <c r="T50" s="47">
        <f t="shared" si="61"/>
        <v>1900</v>
      </c>
      <c r="U50" s="48" t="str">
        <f t="shared" si="62"/>
        <v>0</v>
      </c>
      <c r="V50" s="2031"/>
      <c r="W50" s="49">
        <v>8</v>
      </c>
      <c r="X50" s="20" t="str">
        <f t="shared" si="39"/>
        <v/>
      </c>
      <c r="Y50" s="20" t="str">
        <f t="shared" si="40"/>
        <v/>
      </c>
      <c r="Z50" s="20" t="str">
        <f t="shared" si="41"/>
        <v/>
      </c>
      <c r="AA50" s="21" t="str">
        <f t="shared" si="42"/>
        <v/>
      </c>
      <c r="AB50" s="56" t="str">
        <f t="shared" si="43"/>
        <v/>
      </c>
      <c r="AC50" s="56" t="str">
        <f t="shared" si="44"/>
        <v/>
      </c>
      <c r="AD50" s="56" t="str">
        <f t="shared" si="45"/>
        <v/>
      </c>
      <c r="AE50" s="56" t="str">
        <f t="shared" si="46"/>
        <v/>
      </c>
      <c r="AF50" s="56" t="str">
        <f t="shared" si="47"/>
        <v/>
      </c>
      <c r="AG50" s="56" t="str">
        <f t="shared" si="48"/>
        <v/>
      </c>
      <c r="AH50" s="56" t="str">
        <f t="shared" si="49"/>
        <v>□</v>
      </c>
      <c r="AI50" s="56" t="str">
        <f t="shared" si="50"/>
        <v>□</v>
      </c>
      <c r="AJ50" s="56" t="str">
        <f t="shared" si="51"/>
        <v/>
      </c>
      <c r="AK50" s="56" t="str">
        <f t="shared" si="52"/>
        <v/>
      </c>
      <c r="AL50" s="56" t="str">
        <f t="shared" si="53"/>
        <v/>
      </c>
      <c r="AM50" s="60"/>
    </row>
    <row r="51" spans="2:39">
      <c r="B51" s="19" t="str">
        <f>IFERROR(RANK(U51,$U$44:$U$53,1)+COUNTIF($U$44:U51,U51)-1,"")</f>
        <v/>
      </c>
      <c r="C51" s="20" t="str">
        <f>FAMILY9AGE</f>
        <v/>
      </c>
      <c r="D51" s="20">
        <f>FAMILY9NAME</f>
        <v>0</v>
      </c>
      <c r="E51" s="20" t="str">
        <f>IF(FAMILY9RELATIONSHIP="","",VLOOKUP(FAMILY9RELATIONSHIP,FAMILYCONVERSION,2,0))</f>
        <v/>
      </c>
      <c r="F51" s="21">
        <f>FAMILY9DOB</f>
        <v>0</v>
      </c>
      <c r="G51" s="20">
        <f>FAMILY9JOB</f>
        <v>0</v>
      </c>
      <c r="H51" s="20" t="str">
        <f t="shared" si="59"/>
        <v xml:space="preserve">
</v>
      </c>
      <c r="I51" s="20" t="str">
        <f>UPPER(FAMILY9RELATIONSHIP)</f>
        <v/>
      </c>
      <c r="J51" s="38">
        <f t="shared" si="54"/>
        <v>0</v>
      </c>
      <c r="K51" s="38" t="str">
        <f>IF(J51="死亡","","年齢 "&amp;IF(APNATION="","",VLOOKUP(APNATION,FORMINFO,16,0))&amp;" ( "&amp;IF(J51="死亡","",FAMILY9AGE&amp;" 歳)"))</f>
        <v>年齢 Age (  歳)</v>
      </c>
      <c r="L51" s="38" t="str">
        <f t="shared" si="55"/>
        <v/>
      </c>
      <c r="M51" s="38" t="str">
        <f t="shared" si="60"/>
        <v>■</v>
      </c>
      <c r="N51" s="38" t="str">
        <f t="shared" si="56"/>
        <v>□</v>
      </c>
      <c r="O51" s="39" t="str">
        <f>UPPER(IF(ISBLANK(FAMILY9NAME),"",NATIONINFO))</f>
        <v/>
      </c>
      <c r="P51" s="38" t="str">
        <f>IF(FAMILY9NAME="","",VLOOKUP(NATIONINFO,NATIONS,2,0))</f>
        <v/>
      </c>
      <c r="Q51" s="38">
        <f t="shared" si="57"/>
        <v>0</v>
      </c>
      <c r="R51" s="38">
        <f t="shared" si="58"/>
        <v>0</v>
      </c>
      <c r="S51" s="38"/>
      <c r="T51" s="47">
        <f t="shared" si="61"/>
        <v>1900</v>
      </c>
      <c r="U51" s="48" t="str">
        <f t="shared" si="62"/>
        <v>0</v>
      </c>
      <c r="V51" s="2031"/>
      <c r="W51" s="28">
        <v>9</v>
      </c>
      <c r="X51" s="23" t="str">
        <f t="shared" si="39"/>
        <v/>
      </c>
      <c r="Y51" s="23" t="str">
        <f t="shared" si="40"/>
        <v/>
      </c>
      <c r="Z51" s="23" t="str">
        <f t="shared" si="41"/>
        <v/>
      </c>
      <c r="AA51" s="24" t="str">
        <f t="shared" si="42"/>
        <v/>
      </c>
      <c r="AB51" s="57" t="str">
        <f t="shared" si="43"/>
        <v/>
      </c>
      <c r="AC51" s="57" t="str">
        <f t="shared" si="44"/>
        <v/>
      </c>
      <c r="AD51" s="57" t="str">
        <f t="shared" si="45"/>
        <v/>
      </c>
      <c r="AE51" s="57" t="str">
        <f t="shared" si="46"/>
        <v/>
      </c>
      <c r="AF51" s="57" t="str">
        <f t="shared" si="47"/>
        <v/>
      </c>
      <c r="AG51" s="57" t="str">
        <f t="shared" si="48"/>
        <v/>
      </c>
      <c r="AH51" s="57" t="str">
        <f t="shared" si="49"/>
        <v>□</v>
      </c>
      <c r="AI51" s="57" t="str">
        <f t="shared" si="50"/>
        <v>□</v>
      </c>
      <c r="AJ51" s="57" t="str">
        <f t="shared" si="51"/>
        <v/>
      </c>
      <c r="AK51" s="57" t="str">
        <f t="shared" si="52"/>
        <v/>
      </c>
      <c r="AL51" s="57" t="str">
        <f t="shared" si="53"/>
        <v/>
      </c>
      <c r="AM51" s="61"/>
    </row>
    <row r="52" spans="2:39">
      <c r="B52" s="19" t="str">
        <f>IFERROR(RANK(U52,$U$44:$U$53,1)+COUNTIF($U$44:U52,U52)-1,"")</f>
        <v/>
      </c>
      <c r="C52" s="20" t="str">
        <f>FAMILY10AGE</f>
        <v/>
      </c>
      <c r="D52" s="20">
        <f>FAMILY10NAME</f>
        <v>0</v>
      </c>
      <c r="E52" s="20" t="str">
        <f>IF(FAMILY10RELATIONSHIP="","",VLOOKUP(FAMILY10RELATIONSHIP,FAMILYCONVERSION,2,0))</f>
        <v/>
      </c>
      <c r="F52" s="21">
        <f>FAMILY10DOB</f>
        <v>0</v>
      </c>
      <c r="G52" s="20">
        <f>FAMILY10JOB</f>
        <v>0</v>
      </c>
      <c r="H52" s="20" t="str">
        <f t="shared" si="59"/>
        <v xml:space="preserve">
</v>
      </c>
      <c r="I52" s="20" t="str">
        <f>UPPER(FAMILY10RELATIONSHIP)</f>
        <v/>
      </c>
      <c r="J52" s="38">
        <f t="shared" si="54"/>
        <v>0</v>
      </c>
      <c r="K52" s="38" t="str">
        <f>IF(J52="死亡","","年齢 "&amp;IF(APNATION="","",VLOOKUP(APNATION,FORMINFO,16,0))&amp;" ( "&amp;IF(J52="死亡","",FAMILY10AGE&amp;" 歳)"))</f>
        <v>年齢 Age (  歳)</v>
      </c>
      <c r="L52" s="38" t="str">
        <f t="shared" si="55"/>
        <v/>
      </c>
      <c r="M52" s="38" t="str">
        <f t="shared" si="60"/>
        <v>■</v>
      </c>
      <c r="N52" s="38" t="str">
        <f t="shared" si="56"/>
        <v>□</v>
      </c>
      <c r="O52" s="39" t="str">
        <f>UPPER(IF(ISBLANK(FAMILY10NAME),"",NATIONINFO))</f>
        <v/>
      </c>
      <c r="P52" s="38" t="str">
        <f>IF(FAMILY10NAME="","",VLOOKUP(NATIONINFO,NATIONS,2,0))</f>
        <v/>
      </c>
      <c r="Q52" s="38">
        <f t="shared" si="57"/>
        <v>0</v>
      </c>
      <c r="R52" s="38">
        <f t="shared" si="58"/>
        <v>0</v>
      </c>
      <c r="S52" s="38"/>
      <c r="T52" s="47">
        <f t="shared" si="61"/>
        <v>1900</v>
      </c>
      <c r="U52" s="48" t="str">
        <f t="shared" si="62"/>
        <v>0</v>
      </c>
      <c r="V52" s="2031"/>
      <c r="AC52" s="3"/>
    </row>
    <row r="53" spans="2:39">
      <c r="B53" s="28"/>
      <c r="C53" s="23"/>
      <c r="D53" s="23"/>
      <c r="E53" s="23"/>
      <c r="F53" s="24"/>
      <c r="G53" s="23"/>
      <c r="H53" s="23"/>
      <c r="I53" s="23"/>
      <c r="J53" s="40"/>
      <c r="K53" s="40"/>
      <c r="L53" s="40" t="str">
        <f t="shared" si="55"/>
        <v/>
      </c>
      <c r="M53" s="40"/>
      <c r="N53" s="40"/>
      <c r="O53" s="41"/>
      <c r="P53" s="40"/>
      <c r="Q53" s="40"/>
      <c r="R53" s="40"/>
      <c r="S53" s="40"/>
      <c r="T53" s="50">
        <f t="shared" si="61"/>
        <v>1900</v>
      </c>
      <c r="U53" s="51" t="str">
        <f t="shared" si="62"/>
        <v>0</v>
      </c>
      <c r="V53" s="2031"/>
      <c r="AC53" s="3"/>
    </row>
    <row r="54" spans="2:39">
      <c r="AC54" s="3"/>
    </row>
    <row r="55" spans="2:39">
      <c r="AC55" s="3"/>
    </row>
    <row r="56" spans="2:39" ht="15" customHeight="1">
      <c r="C56" s="29" t="s">
        <v>89</v>
      </c>
      <c r="AC56" s="3"/>
    </row>
    <row r="57" spans="2:39" ht="15" customHeight="1">
      <c r="C57" s="29" t="s">
        <v>5</v>
      </c>
      <c r="AC57" s="3"/>
    </row>
    <row r="58" spans="2:39" ht="15" customHeight="1">
      <c r="C58" s="29"/>
      <c r="AC58" s="3"/>
    </row>
    <row r="59" spans="2:39">
      <c r="B59" s="30" t="s">
        <v>1842</v>
      </c>
      <c r="C59" t="str">
        <f>IFERROR(VLOOKUP(Information!$AB$15,DATA!$B$666:$D$682,3,0),"")</f>
        <v/>
      </c>
      <c r="D59" t="str">
        <f>IF(C59="S",$C$56,$C$57)</f>
        <v>□</v>
      </c>
      <c r="AC59" s="3"/>
    </row>
    <row r="60" spans="2:39">
      <c r="B60" s="30" t="s">
        <v>1837</v>
      </c>
      <c r="C60" t="str">
        <f>IFERROR(VLOOKUP(Information!$AB$15,DATA!$B$666:$D$682,3,0),"")</f>
        <v/>
      </c>
      <c r="D60" t="str">
        <f>IF(C60="W",$C$56,$C$57)</f>
        <v>□</v>
      </c>
      <c r="AC60" s="3"/>
    </row>
    <row r="61" spans="2:39">
      <c r="B61" s="30" t="s">
        <v>1843</v>
      </c>
      <c r="C61" t="str">
        <f>IFERROR(VLOOKUP(Information!$AB$15,DATA!$B$666:$D$682,3,0),"")</f>
        <v/>
      </c>
      <c r="D61" t="str">
        <f>IF(C61="R",$C$56,$C$57)</f>
        <v>□</v>
      </c>
      <c r="AC61" s="3"/>
    </row>
    <row r="62" spans="2:39">
      <c r="AC62" s="3"/>
    </row>
    <row r="63" spans="2:39">
      <c r="AC63" s="3"/>
    </row>
    <row r="64" spans="2:39">
      <c r="AC64" s="3"/>
    </row>
    <row r="65" spans="28:29">
      <c r="AC65" s="3"/>
    </row>
    <row r="66" spans="28:29">
      <c r="AC66" s="3"/>
    </row>
    <row r="67" spans="28:29">
      <c r="AC67" s="3"/>
    </row>
    <row r="68" spans="28:29">
      <c r="AC68" s="3"/>
    </row>
    <row r="69" spans="28:29">
      <c r="AC69" s="3"/>
    </row>
    <row r="70" spans="28:29">
      <c r="AC70" s="7"/>
    </row>
    <row r="71" spans="28:29">
      <c r="AC71" s="7"/>
    </row>
    <row r="72" spans="28:29">
      <c r="AC72" s="7"/>
    </row>
    <row r="73" spans="28:29">
      <c r="AC73" s="7"/>
    </row>
    <row r="74" spans="28:29">
      <c r="AC74" s="7"/>
    </row>
    <row r="75" spans="28:29">
      <c r="AC75" s="7"/>
    </row>
    <row r="76" spans="28:29" ht="13.5" customHeight="1">
      <c r="AC76" s="7"/>
    </row>
    <row r="80" spans="28:29">
      <c r="AB80" s="3"/>
    </row>
    <row r="81" spans="8:28">
      <c r="AB81" s="3"/>
    </row>
    <row r="82" spans="8:28">
      <c r="AB82" s="3"/>
    </row>
    <row r="83" spans="8:28">
      <c r="AB83" s="3"/>
    </row>
    <row r="84" spans="8:28">
      <c r="AB84" s="3"/>
    </row>
    <row r="85" spans="8:28">
      <c r="AB85" s="3"/>
    </row>
    <row r="86" spans="8:28">
      <c r="AB86" s="3"/>
    </row>
    <row r="87" spans="8:28">
      <c r="AB87" s="3"/>
    </row>
    <row r="88" spans="8:28">
      <c r="AB88" s="3"/>
    </row>
    <row r="89" spans="8:28">
      <c r="AB89" s="3"/>
    </row>
    <row r="90" spans="8:28">
      <c r="AB90" s="3"/>
    </row>
    <row r="91" spans="8:28">
      <c r="AB91" s="3"/>
    </row>
    <row r="92" spans="8:28">
      <c r="H92" s="3"/>
      <c r="I92" s="3"/>
      <c r="J92" s="3"/>
      <c r="K92" s="3"/>
      <c r="L92" s="3"/>
      <c r="M92" s="3"/>
      <c r="N92" s="3"/>
      <c r="O92" s="3"/>
      <c r="P92" s="3"/>
      <c r="Q92" s="3"/>
      <c r="R92" s="3"/>
      <c r="S92" s="3"/>
      <c r="T92" s="3"/>
      <c r="U92" s="3"/>
      <c r="V92" s="3"/>
      <c r="W92" s="3"/>
      <c r="X92" s="3"/>
      <c r="Y92" s="3"/>
      <c r="Z92" s="3"/>
      <c r="AA92" s="3"/>
      <c r="AB92" s="3"/>
    </row>
    <row r="93" spans="8:28">
      <c r="AA93" s="3"/>
      <c r="AB93" s="3"/>
    </row>
    <row r="94" spans="8:28">
      <c r="AA94" s="63" t="e">
        <f>RANK(AO30,$AO$30:$AO$40,1)+COUNTIF($AO$30:AO30,AO30)-1</f>
        <v>#VALUE!</v>
      </c>
      <c r="AB94" s="3"/>
    </row>
    <row r="95" spans="8:28">
      <c r="AA95" s="63" t="e">
        <f>RANK(AO31,$AO$30:$AO$40,1)+COUNTIF($AO$30:AO31,AO31)-1</f>
        <v>#VALUE!</v>
      </c>
      <c r="AB95" s="3"/>
    </row>
    <row r="96" spans="8:28">
      <c r="AA96" s="63" t="e">
        <f>RANK(AO32,$AO$30:$AO$40,1)+COUNTIF($AO$30:AO32,AO32)-1</f>
        <v>#VALUE!</v>
      </c>
      <c r="AB96" s="3"/>
    </row>
    <row r="97" spans="8:28">
      <c r="AA97" s="63" t="e">
        <f>RANK(AO33,$AO$30:$AO$40,1)+COUNTIF($AO$30:AO33,AO33)-1</f>
        <v>#VALUE!</v>
      </c>
      <c r="AB97" s="3"/>
    </row>
    <row r="98" spans="8:28">
      <c r="AA98" s="63" t="e">
        <f>RANK(AO34,$AO$30:$AO$40,1)+COUNTIF($AO$30:AO34,AO34)-1</f>
        <v>#VALUE!</v>
      </c>
      <c r="AB98" s="3"/>
    </row>
    <row r="99" spans="8:28">
      <c r="AA99" s="63" t="e">
        <f>RANK(AO35,$AO$30:$AO$40,1)+COUNTIF($AO$30:AO35,AO35)-1</f>
        <v>#VALUE!</v>
      </c>
      <c r="AB99" s="3"/>
    </row>
    <row r="100" spans="8:28">
      <c r="AA100" s="63" t="e">
        <f>RANK(AO36,$AO$30:$AO$40,1)+COUNTIF($AO$30:AO36,AO36)-1</f>
        <v>#VALUE!</v>
      </c>
      <c r="AB100" s="3"/>
    </row>
    <row r="101" spans="8:28">
      <c r="AA101" s="63" t="e">
        <f>RANK(AO37,$AO$30:$AO$40,1)+COUNTIF($AO$30:AO37,AO37)-1</f>
        <v>#VALUE!</v>
      </c>
      <c r="AB101" s="3"/>
    </row>
    <row r="102" spans="8:28">
      <c r="AA102" s="63" t="e">
        <f>RANK(AO38,$AO$30:$AO$40,1)+COUNTIF($AO$30:AO38,AO38)-1</f>
        <v>#VALUE!</v>
      </c>
      <c r="AB102" s="3"/>
    </row>
    <row r="103" spans="8:28">
      <c r="AA103" s="63" t="e">
        <f>RANK(AO39,$AO$30:$AO$40,1)+COUNTIF($AO$30:AO39,AO39)-1</f>
        <v>#VALUE!</v>
      </c>
      <c r="AB103" s="3"/>
    </row>
    <row r="104" spans="8:28">
      <c r="AA104" s="63" t="e">
        <f>RANK(AO40,$AO$30:$AO$40,1)+COUNTIF($AO$30:AO40,AO40)-1</f>
        <v>#VALUE!</v>
      </c>
      <c r="AB104" s="3"/>
    </row>
    <row r="105" spans="8:28">
      <c r="H105" s="3"/>
      <c r="I105" s="3"/>
      <c r="J105" s="3"/>
      <c r="K105" s="3"/>
      <c r="L105" s="3"/>
      <c r="M105" s="3"/>
      <c r="N105" s="3"/>
      <c r="O105" s="3"/>
      <c r="P105" s="3"/>
      <c r="Q105" s="3"/>
      <c r="R105" s="3"/>
      <c r="S105" s="3"/>
      <c r="T105" s="3"/>
      <c r="U105" s="3"/>
      <c r="V105" s="3"/>
      <c r="W105" s="3"/>
      <c r="X105" s="3"/>
      <c r="Y105" s="3"/>
      <c r="Z105" s="3"/>
      <c r="AA105" s="3"/>
      <c r="AB105" s="3"/>
    </row>
    <row r="106" spans="8:28">
      <c r="AB106" s="3"/>
    </row>
    <row r="107" spans="8:28">
      <c r="AB107" s="3"/>
    </row>
    <row r="108" spans="8:28">
      <c r="AB108" s="3"/>
    </row>
    <row r="109" spans="8:28">
      <c r="AB109" s="3"/>
    </row>
    <row r="110" spans="8:28">
      <c r="AB110" s="3"/>
    </row>
    <row r="111" spans="8:28">
      <c r="AB111" s="3"/>
    </row>
    <row r="112" spans="8:28">
      <c r="AB112" s="3"/>
    </row>
    <row r="113" spans="8:28">
      <c r="AB113" s="3"/>
    </row>
    <row r="114" spans="8:28">
      <c r="AB114" s="3"/>
    </row>
    <row r="115" spans="8:28">
      <c r="AB115" s="3"/>
    </row>
    <row r="116" spans="8:28">
      <c r="AB116" s="3"/>
    </row>
    <row r="117" spans="8:28">
      <c r="AB117" s="3"/>
    </row>
    <row r="118" spans="8:28">
      <c r="H118" s="3"/>
      <c r="I118" s="3"/>
      <c r="J118" s="3"/>
      <c r="K118" s="3"/>
      <c r="L118" s="3"/>
      <c r="M118" s="3"/>
      <c r="N118" s="3"/>
      <c r="O118" s="3"/>
      <c r="P118" s="3"/>
      <c r="Q118" s="3"/>
      <c r="R118" s="3"/>
      <c r="S118" s="3"/>
      <c r="T118" s="3"/>
      <c r="U118" s="3"/>
      <c r="V118" s="3"/>
      <c r="W118" s="3"/>
      <c r="X118" s="3"/>
      <c r="Y118" s="3"/>
      <c r="Z118" s="3"/>
      <c r="AA118" s="3"/>
      <c r="AB118" s="3"/>
    </row>
    <row r="119" spans="8:28">
      <c r="H119" s="3"/>
      <c r="I119" s="3"/>
      <c r="J119" s="3"/>
      <c r="K119" s="3"/>
      <c r="L119" s="3"/>
      <c r="M119" s="3"/>
      <c r="N119" s="3"/>
      <c r="O119" s="3"/>
      <c r="P119" s="3"/>
      <c r="Q119" s="3"/>
      <c r="R119" s="3"/>
      <c r="S119" s="3"/>
      <c r="T119" s="3"/>
      <c r="U119" s="3"/>
      <c r="V119" s="3"/>
      <c r="W119" s="3"/>
      <c r="X119" s="3"/>
      <c r="Y119" s="3"/>
      <c r="Z119" s="3"/>
      <c r="AA119" s="3"/>
      <c r="AB119" s="3"/>
    </row>
    <row r="120" spans="8:28">
      <c r="H120" s="3"/>
      <c r="I120" s="3"/>
      <c r="J120" s="3"/>
      <c r="K120" s="3"/>
      <c r="L120" s="3"/>
      <c r="M120" s="3"/>
      <c r="N120" s="3"/>
      <c r="O120" s="3"/>
      <c r="P120" s="3"/>
      <c r="Q120" s="3"/>
      <c r="R120" s="3"/>
      <c r="S120" s="3"/>
      <c r="T120" s="3"/>
      <c r="U120" s="3"/>
      <c r="V120" s="3"/>
      <c r="W120" s="3"/>
      <c r="X120" s="3"/>
      <c r="Y120" s="3"/>
      <c r="Z120" s="3"/>
      <c r="AA120" s="3"/>
      <c r="AB120" s="3"/>
    </row>
    <row r="121" spans="8:28">
      <c r="Y121" s="3"/>
      <c r="Z121" s="3"/>
      <c r="AA121" s="3"/>
      <c r="AB121" s="3"/>
    </row>
    <row r="122" spans="8:28">
      <c r="Y122" s="3"/>
      <c r="Z122" s="3"/>
      <c r="AA122" s="3"/>
      <c r="AB122" s="3"/>
    </row>
    <row r="123" spans="8:28">
      <c r="Y123" s="3"/>
      <c r="Z123" s="3"/>
      <c r="AA123" s="3"/>
      <c r="AB123" s="3"/>
    </row>
    <row r="124" spans="8:28">
      <c r="Y124" s="3"/>
      <c r="Z124" s="3"/>
      <c r="AA124" s="3"/>
      <c r="AB124" s="3"/>
    </row>
    <row r="125" spans="8:28">
      <c r="Y125" s="3"/>
      <c r="Z125" s="3"/>
      <c r="AA125" s="3"/>
      <c r="AB125" s="3"/>
    </row>
    <row r="126" spans="8:28">
      <c r="Y126" s="3"/>
      <c r="Z126" s="3"/>
      <c r="AA126" s="3"/>
      <c r="AB126" s="3"/>
    </row>
    <row r="127" spans="8:28">
      <c r="Y127" s="3"/>
      <c r="Z127" s="3"/>
      <c r="AA127" s="3"/>
      <c r="AB127" s="3"/>
    </row>
    <row r="128" spans="8:28">
      <c r="Y128" s="3"/>
      <c r="Z128" s="3"/>
      <c r="AA128" s="3"/>
      <c r="AB128" s="3"/>
    </row>
    <row r="129" spans="8:28">
      <c r="Y129" s="3"/>
      <c r="Z129" s="3"/>
      <c r="AA129" s="3"/>
      <c r="AB129" s="3"/>
    </row>
    <row r="130" spans="8:28">
      <c r="Y130" s="3"/>
      <c r="Z130" s="3"/>
      <c r="AA130" s="3"/>
      <c r="AB130" s="3"/>
    </row>
    <row r="131" spans="8:28">
      <c r="H131" s="64"/>
      <c r="I131" s="3"/>
      <c r="J131" s="3"/>
      <c r="K131" s="3"/>
      <c r="L131" s="3"/>
      <c r="M131" s="3"/>
      <c r="N131" s="3"/>
      <c r="O131" s="3"/>
      <c r="P131" s="3"/>
      <c r="Q131" s="3"/>
      <c r="R131" s="3"/>
      <c r="S131" s="3"/>
      <c r="T131" s="3"/>
      <c r="U131" s="3"/>
      <c r="V131" s="3"/>
      <c r="W131" s="3"/>
      <c r="X131" s="3"/>
      <c r="Y131" s="3"/>
      <c r="Z131" s="3"/>
      <c r="AA131" s="3"/>
      <c r="AB131" s="3"/>
    </row>
    <row r="132" spans="8:28">
      <c r="H132" s="64"/>
      <c r="I132" s="3"/>
      <c r="J132" s="3"/>
      <c r="K132" s="3"/>
      <c r="L132" s="3"/>
      <c r="M132" s="3"/>
      <c r="N132" s="3"/>
      <c r="O132" s="3"/>
      <c r="P132" s="3"/>
      <c r="Q132" s="3"/>
      <c r="R132" s="3"/>
      <c r="S132" s="3"/>
      <c r="T132" s="3"/>
      <c r="U132" s="3"/>
      <c r="V132" s="3"/>
      <c r="W132" s="3"/>
      <c r="X132" s="3"/>
      <c r="Y132" s="3"/>
      <c r="Z132" s="3"/>
      <c r="AA132" s="3"/>
      <c r="AB132" s="3"/>
    </row>
    <row r="133" spans="8:28">
      <c r="H133" s="7"/>
      <c r="I133" s="7"/>
      <c r="J133" s="7"/>
      <c r="K133" s="7"/>
      <c r="L133" s="65" t="s">
        <v>34</v>
      </c>
      <c r="M133" s="65"/>
      <c r="N133" s="7"/>
      <c r="O133" s="7"/>
      <c r="P133" s="7"/>
      <c r="Q133" s="7"/>
      <c r="R133" s="7"/>
      <c r="S133" s="7"/>
      <c r="T133" s="7"/>
      <c r="U133" s="7"/>
      <c r="V133" s="7"/>
      <c r="W133" s="7"/>
      <c r="X133" s="7"/>
      <c r="Y133" s="7"/>
      <c r="Z133" s="7"/>
      <c r="AA133" s="7"/>
      <c r="AB133" s="7"/>
    </row>
    <row r="134" spans="8:28">
      <c r="H134" s="3"/>
      <c r="I134" s="3"/>
      <c r="J134" s="3"/>
      <c r="K134" s="3"/>
      <c r="L134" s="66" t="str">
        <f>"("&amp;IF(APNATION="","",VLOOKUP(APNATION,FORMINFO,16,0))&amp;")"</f>
        <v>(Age)</v>
      </c>
      <c r="M134" s="66"/>
      <c r="N134" s="3"/>
      <c r="O134" s="3"/>
      <c r="P134" s="3"/>
      <c r="Q134" s="3"/>
      <c r="R134" s="3"/>
      <c r="S134" s="3"/>
      <c r="T134" s="7"/>
      <c r="U134" s="7"/>
      <c r="V134" s="7"/>
      <c r="W134" s="7"/>
      <c r="X134" s="7"/>
      <c r="Y134" s="7"/>
      <c r="Z134" s="7"/>
      <c r="AA134" s="7"/>
      <c r="AB134" s="7"/>
    </row>
    <row r="135" spans="8:28">
      <c r="H135" s="3"/>
      <c r="I135" s="3"/>
      <c r="J135" s="3"/>
      <c r="K135" s="3"/>
      <c r="L135" s="67" t="str">
        <f>FORMULAS!C4</f>
        <v/>
      </c>
      <c r="M135" s="67"/>
      <c r="N135" s="3"/>
      <c r="O135" s="3"/>
      <c r="P135" s="3"/>
      <c r="Q135" s="3"/>
      <c r="R135" s="3"/>
      <c r="S135" s="3"/>
      <c r="T135" s="7"/>
      <c r="U135" s="7"/>
      <c r="V135" s="7"/>
      <c r="W135" s="7"/>
      <c r="X135" s="7"/>
      <c r="Y135" s="7"/>
      <c r="Z135" s="7"/>
      <c r="AA135" s="7"/>
      <c r="AB135" s="7"/>
    </row>
    <row r="136" spans="8:28">
      <c r="J136" s="68"/>
      <c r="K136" s="68"/>
      <c r="L136" s="68"/>
      <c r="M136" s="68"/>
      <c r="N136" s="68"/>
      <c r="O136" s="3"/>
      <c r="P136" s="3"/>
      <c r="Q136" s="3"/>
      <c r="R136" s="3"/>
      <c r="S136" s="3"/>
      <c r="T136" s="7"/>
      <c r="U136" s="7"/>
      <c r="V136" s="7"/>
      <c r="W136" s="7"/>
      <c r="X136" s="7"/>
      <c r="Y136" s="7"/>
      <c r="Z136" s="7"/>
      <c r="AA136" s="7"/>
      <c r="AB136" s="7"/>
    </row>
    <row r="137" spans="8:28">
      <c r="J137" s="68"/>
      <c r="K137" s="68"/>
      <c r="L137" s="68"/>
      <c r="M137" s="68"/>
      <c r="N137" s="68"/>
      <c r="O137" s="3"/>
      <c r="P137" s="3"/>
      <c r="Q137" s="3"/>
      <c r="R137" s="3"/>
      <c r="S137" s="3"/>
      <c r="T137" s="7"/>
      <c r="U137" s="7"/>
      <c r="V137" s="7"/>
      <c r="W137" s="7"/>
      <c r="X137" s="7"/>
      <c r="Y137" s="7"/>
      <c r="Z137" s="7"/>
      <c r="AA137" s="7"/>
      <c r="AB137" s="7"/>
    </row>
    <row r="138" spans="8:28">
      <c r="J138" s="68"/>
      <c r="K138" s="68"/>
      <c r="L138" s="68"/>
      <c r="M138" s="68"/>
      <c r="N138" s="68"/>
      <c r="O138" s="3"/>
      <c r="P138" s="3"/>
      <c r="Q138" s="3"/>
      <c r="R138" s="3"/>
      <c r="S138" s="3"/>
      <c r="T138" s="7"/>
      <c r="U138" s="7"/>
      <c r="V138" s="7"/>
      <c r="W138" s="7"/>
      <c r="X138" s="7"/>
      <c r="Y138" s="7"/>
      <c r="Z138" s="7"/>
      <c r="AA138" s="7"/>
      <c r="AB138" s="7"/>
    </row>
    <row r="139" spans="8:28">
      <c r="T139" s="7"/>
      <c r="U139" s="7"/>
      <c r="V139" s="7"/>
      <c r="W139" s="7"/>
      <c r="X139" s="7"/>
      <c r="Y139" s="7"/>
      <c r="Z139" s="7"/>
      <c r="AA139" s="7"/>
      <c r="AB139" s="7"/>
    </row>
  </sheetData>
  <sheetProtection algorithmName="SHA-512" hashValue="1MZJ+/KRyoqWESmDD34kQTXw1v8dKvWjm/xwdOAoSWvmxjKa6ojHnFu9+GeI71rYQ4S7NvzbwM954+qKmWv6pA==" saltValue="Afw22SMmPcQcvxQUBputtw==" spinCount="100000" sheet="1" objects="1" scenarios="1" selectLockedCells="1"/>
  <protectedRanges>
    <protectedRange sqref="D16:D17 C16:C18 C4:D15 C20:D23 E10:E23 E4:E7" name="範囲1_3_1_1"/>
    <protectedRange sqref="Y134:Y135 T29:T40 U136:U138 O31:O40 T43:T53 AN30:AN40 K4:K13 O44:O53" name="範囲1_3_1_2"/>
    <protectedRange sqref="L135:M135 AB134:AB135 L118:L119 L105" name="範囲1_3_1_1_1"/>
    <protectedRange sqref="E44" name="範囲1_2_1_1"/>
    <protectedRange sqref="C56" name="範囲1_3_1"/>
    <protectedRange sqref="C57" name="範囲1_3_1_3"/>
  </protectedRanges>
  <mergeCells count="27">
    <mergeCell ref="C3:D3"/>
    <mergeCell ref="B29:U29"/>
    <mergeCell ref="W29:AO29"/>
    <mergeCell ref="B42:U42"/>
    <mergeCell ref="W42:AM42"/>
    <mergeCell ref="B4:B5"/>
    <mergeCell ref="B6:B7"/>
    <mergeCell ref="B8:B9"/>
    <mergeCell ref="B10:B11"/>
    <mergeCell ref="B12:B13"/>
    <mergeCell ref="B14:B15"/>
    <mergeCell ref="B16:B17"/>
    <mergeCell ref="B18:B19"/>
    <mergeCell ref="B20:B21"/>
    <mergeCell ref="B22:B23"/>
    <mergeCell ref="V29:V40"/>
    <mergeCell ref="V42:V53"/>
    <mergeCell ref="C12:D13"/>
    <mergeCell ref="C16:D17"/>
    <mergeCell ref="C18:D19"/>
    <mergeCell ref="C8:D9"/>
    <mergeCell ref="C22:D23"/>
    <mergeCell ref="C6:D7"/>
    <mergeCell ref="C4:D5"/>
    <mergeCell ref="C10:D11"/>
    <mergeCell ref="C14:D15"/>
    <mergeCell ref="C20:D21"/>
  </mergeCells>
  <phoneticPr fontId="96"/>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8" master="">
    <arrUserId title="範囲1_2" rangeCreator="" othersAccessPermission="edit"/>
    <arrUserId title="範囲1_3_1" rangeCreator="" othersAccessPermission="edit"/>
    <arrUserId title="範囲1_2_1" rangeCreator="" othersAccessPermission="edit"/>
    <arrUserId title="範囲1_2_2" rangeCreator="" othersAccessPermission="edit"/>
    <arrUserId title="範囲1_3_1_1" rangeCreator="" othersAccessPermission="edit"/>
    <arrUserId title="範囲1_2_1_1" rangeCreator="" othersAccessPermission="edit"/>
    <arrUserId title="範囲1_1_2_1_1" rangeCreator="" othersAccessPermission="edit"/>
    <arrUserId title="範囲1_1_1_1_1_1" rangeCreator="" othersAccessPermission="edit"/>
  </rangeList>
  <rangeList sheetStid="1" master="">
    <arrUserId title="範囲1_1" rangeCreator="" othersAccessPermission="edit"/>
    <arrUserId title="範囲1_4" rangeCreator="" othersAccessPermission="edit"/>
    <arrUserId title="範囲1_2" rangeCreator="" othersAccessPermission="edit"/>
    <arrUserId title="範囲1_1_2" rangeCreator="" othersAccessPermission="edit"/>
    <arrUserId title="範囲1_3_1" rangeCreator="" othersAccessPermission="edit"/>
    <arrUserId title="範囲1_4_4" rangeCreator="" othersAccessPermission="edit"/>
    <arrUserId title="範囲1_1_1_1" rangeCreator="" othersAccessPermission="edit"/>
    <arrUserId title="範囲1_4_1_1" rangeCreator="" othersAccessPermission="edit"/>
    <arrUserId title="範囲1_4_2_1" rangeCreator="" othersAccessPermission="edit"/>
    <arrUserId title="範囲1_4_3_1" rangeCreator="" othersAccessPermission="edit"/>
    <arrUserId title="範囲1_2_1" rangeCreator="" othersAccessPermission="edit"/>
    <arrUserId title="範囲1_3_1_1" rangeCreator="" othersAccessPermission="edit"/>
    <arrUserId title="範囲1_2_2" rangeCreator="" othersAccessPermission="edit"/>
    <arrUserId title="範囲1_3_1_2" rangeCreator="" othersAccessPermission="edit"/>
  </rangeList>
  <rangeList sheetStid="4" master=""/>
  <rangeList sheetStid="9" master="">
    <arrUserId title="範囲1_3_1_1" rangeCreator="" othersAccessPermission="edit"/>
    <arrUserId title="範囲1_3_1_2" rangeCreator="" othersAccessPermission="edit"/>
    <arrUserId title="範囲1_3_1_1_1" rangeCreator="" othersAccessPermission="edit"/>
    <arrUserId title="範囲1_2_1_1" rangeCreator="" othersAccessPermission="edit"/>
    <arrUserId title="範囲1_3_1" rangeCreator="" othersAccessPermission="edit"/>
    <arrUserId title="範囲1_3_1_3"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242</vt:i4>
      </vt:variant>
    </vt:vector>
  </HeadingPairs>
  <TitlesOfParts>
    <vt:vector size="246" baseType="lpstr">
      <vt:lpstr>Information</vt:lpstr>
      <vt:lpstr>FORM</vt:lpstr>
      <vt:lpstr>DATA</vt:lpstr>
      <vt:lpstr>FORMULAS</vt:lpstr>
      <vt:lpstr>AGES</vt:lpstr>
      <vt:lpstr>AGES2</vt:lpstr>
      <vt:lpstr>APNATION</vt:lpstr>
      <vt:lpstr>APPLICANTGENDER</vt:lpstr>
      <vt:lpstr>APPLICANTGENDERSELECT</vt:lpstr>
      <vt:lpstr>CHOICE</vt:lpstr>
      <vt:lpstr>COUNTRYCN</vt:lpstr>
      <vt:lpstr>COUNTRYEN</vt:lpstr>
      <vt:lpstr>COUNTRYJP</vt:lpstr>
      <vt:lpstr>COUNTRYKR</vt:lpstr>
      <vt:lpstr>COUNTRYVN</vt:lpstr>
      <vt:lpstr>DAYS</vt:lpstr>
      <vt:lpstr>ENGLISHTR</vt:lpstr>
      <vt:lpstr>EXPENSEINFO</vt:lpstr>
      <vt:lpstr>FAMCHANGE</vt:lpstr>
      <vt:lpstr>FAMILY10ADDRESS1</vt:lpstr>
      <vt:lpstr>FAMILY10ADDRESS2</vt:lpstr>
      <vt:lpstr>FAMILY10AGE</vt:lpstr>
      <vt:lpstr>FAMILY10DOB</vt:lpstr>
      <vt:lpstr>FAMILY10JOB</vt:lpstr>
      <vt:lpstr>FAMILY10NAME</vt:lpstr>
      <vt:lpstr>FAMILY10RELATIONSHIP</vt:lpstr>
      <vt:lpstr>FAMILY1GENDER</vt:lpstr>
      <vt:lpstr>FAMILY1LIVING</vt:lpstr>
      <vt:lpstr>FAMILY1NAME</vt:lpstr>
      <vt:lpstr>FAMILY1RELATIONSHIP</vt:lpstr>
      <vt:lpstr>FAMILY2</vt:lpstr>
      <vt:lpstr>FAMILY2ADDRESS1</vt:lpstr>
      <vt:lpstr>FAMILY2ADDRESS2</vt:lpstr>
      <vt:lpstr>FAMILY2AGE</vt:lpstr>
      <vt:lpstr>FAMILY2DOB</vt:lpstr>
      <vt:lpstr>FAMILY2GENDER</vt:lpstr>
      <vt:lpstr>FAMILY2JOB</vt:lpstr>
      <vt:lpstr>FAMILY2LIVING</vt:lpstr>
      <vt:lpstr>FAMILY2NAME</vt:lpstr>
      <vt:lpstr>FAMILY2RELATIONSHIP</vt:lpstr>
      <vt:lpstr>FAMILY3AGE</vt:lpstr>
      <vt:lpstr>FAMILY4</vt:lpstr>
      <vt:lpstr>FAMILY4ADDRESS1</vt:lpstr>
      <vt:lpstr>FAMILY4ADDRESS2</vt:lpstr>
      <vt:lpstr>FAMILY4AGE</vt:lpstr>
      <vt:lpstr>FAMILY4DOB</vt:lpstr>
      <vt:lpstr>FAMILY4GENDER</vt:lpstr>
      <vt:lpstr>FAMILY4JOB</vt:lpstr>
      <vt:lpstr>FAMILY4LIVING</vt:lpstr>
      <vt:lpstr>FAMILY4NAME</vt:lpstr>
      <vt:lpstr>FAMILY4RELATIONSHIP</vt:lpstr>
      <vt:lpstr>FAMILY5ADDRESS1</vt:lpstr>
      <vt:lpstr>FAMILY5ADDRESS2</vt:lpstr>
      <vt:lpstr>FAMILY5AGE</vt:lpstr>
      <vt:lpstr>FAMILY5DOB</vt:lpstr>
      <vt:lpstr>FAMILY5GENDER</vt:lpstr>
      <vt:lpstr>FAMILY5JOB</vt:lpstr>
      <vt:lpstr>FAMILY5LIVING</vt:lpstr>
      <vt:lpstr>FAMILY5NAME</vt:lpstr>
      <vt:lpstr>FAMILY5RELATIONSHIP</vt:lpstr>
      <vt:lpstr>FAMILY6</vt:lpstr>
      <vt:lpstr>FAMILY6ADDRESS1</vt:lpstr>
      <vt:lpstr>FAMILY6ADDRESS2</vt:lpstr>
      <vt:lpstr>FAMILY6AGE</vt:lpstr>
      <vt:lpstr>FAMILY6DOB</vt:lpstr>
      <vt:lpstr>FAMILY6GENDER</vt:lpstr>
      <vt:lpstr>FAMILY6JOB</vt:lpstr>
      <vt:lpstr>FAMILY6LIVING</vt:lpstr>
      <vt:lpstr>FAMILY6NAME</vt:lpstr>
      <vt:lpstr>FAMILY6RELATIONSHIP</vt:lpstr>
      <vt:lpstr>FAMILY7ADDRESS1</vt:lpstr>
      <vt:lpstr>FAMILY7ADDRESS2</vt:lpstr>
      <vt:lpstr>FAMILY7AGE</vt:lpstr>
      <vt:lpstr>FAMILY7DOB</vt:lpstr>
      <vt:lpstr>FAMILY7GENDER</vt:lpstr>
      <vt:lpstr>FAMILY7JOB</vt:lpstr>
      <vt:lpstr>FAMILY7LIVING</vt:lpstr>
      <vt:lpstr>FAMILY7NAME</vt:lpstr>
      <vt:lpstr>FAMILY7RELATIONSHIP</vt:lpstr>
      <vt:lpstr>FAMILY8ADDRESS1</vt:lpstr>
      <vt:lpstr>FAMILY8ADDRESS2</vt:lpstr>
      <vt:lpstr>FAMILY8AGE</vt:lpstr>
      <vt:lpstr>FAMILY8DOB</vt:lpstr>
      <vt:lpstr>FAMILY8GENDER</vt:lpstr>
      <vt:lpstr>FAMILY8JOB</vt:lpstr>
      <vt:lpstr>FAMILY8LIVING</vt:lpstr>
      <vt:lpstr>FAMILY8NAME</vt:lpstr>
      <vt:lpstr>FAMILY8RELATIONSHIP</vt:lpstr>
      <vt:lpstr>FAMILY9ADDRESS1</vt:lpstr>
      <vt:lpstr>FAMILY9ADDRESS2</vt:lpstr>
      <vt:lpstr>FAMILY9AGE</vt:lpstr>
      <vt:lpstr>FAMILY9DOB</vt:lpstr>
      <vt:lpstr>FAMILY9JOB</vt:lpstr>
      <vt:lpstr>FAMILY9NAME</vt:lpstr>
      <vt:lpstr>FAMILY9RELATIONSHIP</vt:lpstr>
      <vt:lpstr>FAMILYCN</vt:lpstr>
      <vt:lpstr>FAMILYCONVERSION</vt:lpstr>
      <vt:lpstr>FAMILYDATA</vt:lpstr>
      <vt:lpstr>FAMILYDATA2</vt:lpstr>
      <vt:lpstr>FAMILYEN</vt:lpstr>
      <vt:lpstr>FAMILYINFO</vt:lpstr>
      <vt:lpstr>FAMILYJP</vt:lpstr>
      <vt:lpstr>FAMILYKR</vt:lpstr>
      <vt:lpstr>FAMILYMATCH</vt:lpstr>
      <vt:lpstr>FAMILYSHORT</vt:lpstr>
      <vt:lpstr>FAMILYTR</vt:lpstr>
      <vt:lpstr>FAMILYTRANSLATION</vt:lpstr>
      <vt:lpstr>FAMILYVN</vt:lpstr>
      <vt:lpstr>FIRSTSCHOOL</vt:lpstr>
      <vt:lpstr>FORMGENDER</vt:lpstr>
      <vt:lpstr>FORMINFO</vt:lpstr>
      <vt:lpstr>GENDERCN</vt:lpstr>
      <vt:lpstr>GENDEREN</vt:lpstr>
      <vt:lpstr>GENDERJP</vt:lpstr>
      <vt:lpstr>GENDERKR</vt:lpstr>
      <vt:lpstr>GENDERTR</vt:lpstr>
      <vt:lpstr>GENDERTRANSLATION</vt:lpstr>
      <vt:lpstr>GENDERVN</vt:lpstr>
      <vt:lpstr>JAPANESEVISASTATUS</vt:lpstr>
      <vt:lpstr>JOBSCN</vt:lpstr>
      <vt:lpstr>JOBSEN</vt:lpstr>
      <vt:lpstr>JOBSINDEX</vt:lpstr>
      <vt:lpstr>JOBSJP</vt:lpstr>
      <vt:lpstr>JOBSKR</vt:lpstr>
      <vt:lpstr>JOBSMATCH</vt:lpstr>
      <vt:lpstr>JOBSTR</vt:lpstr>
      <vt:lpstr>JOBSVN</vt:lpstr>
      <vt:lpstr>LANGUAGE</vt:lpstr>
      <vt:lpstr>MAJORS2</vt:lpstr>
      <vt:lpstr>MAJORSCN</vt:lpstr>
      <vt:lpstr>MAJORSEN</vt:lpstr>
      <vt:lpstr>MAJORSJP</vt:lpstr>
      <vt:lpstr>MAJORSKR</vt:lpstr>
      <vt:lpstr>MAJORSTR</vt:lpstr>
      <vt:lpstr>MAJORSTRANSLATION</vt:lpstr>
      <vt:lpstr>MAJORSVN</vt:lpstr>
      <vt:lpstr>MARITALSTATUS</vt:lpstr>
      <vt:lpstr>MONTHS</vt:lpstr>
      <vt:lpstr>NAMETR</vt:lpstr>
      <vt:lpstr>NATIONALITY</vt:lpstr>
      <vt:lpstr>NATIONINFO</vt:lpstr>
      <vt:lpstr>NATIONS</vt:lpstr>
      <vt:lpstr>PASSPORTNUMBER</vt:lpstr>
      <vt:lpstr>PASSPORTYEARS</vt:lpstr>
      <vt:lpstr>PLANCN</vt:lpstr>
      <vt:lpstr>PLANEN</vt:lpstr>
      <vt:lpstr>PLANJP</vt:lpstr>
      <vt:lpstr>PLANKR</vt:lpstr>
      <vt:lpstr>PLANTR</vt:lpstr>
      <vt:lpstr>PLANTRANSLATION</vt:lpstr>
      <vt:lpstr>PLANVN</vt:lpstr>
      <vt:lpstr>PREFIXADDRESS</vt:lpstr>
      <vt:lpstr>FORM!Print_Area</vt:lpstr>
      <vt:lpstr>Information!Print_Area</vt:lpstr>
      <vt:lpstr>REASONCN</vt:lpstr>
      <vt:lpstr>REASONEN</vt:lpstr>
      <vt:lpstr>REASONINFO</vt:lpstr>
      <vt:lpstr>REASONJP</vt:lpstr>
      <vt:lpstr>REASONKR</vt:lpstr>
      <vt:lpstr>REASONTR</vt:lpstr>
      <vt:lpstr>REASONTRANSLATION</vt:lpstr>
      <vt:lpstr>REASONVN</vt:lpstr>
      <vt:lpstr>RELATIVEINFO</vt:lpstr>
      <vt:lpstr>RESUMEINFO</vt:lpstr>
      <vt:lpstr>SCHOOLADDRESS</vt:lpstr>
      <vt:lpstr>SCHOOLCN</vt:lpstr>
      <vt:lpstr>SCHOOLEN</vt:lpstr>
      <vt:lpstr>SCHOOLINFO</vt:lpstr>
      <vt:lpstr>SCHOOLJP</vt:lpstr>
      <vt:lpstr>SCHOOLKR</vt:lpstr>
      <vt:lpstr>SCHOOLNAME</vt:lpstr>
      <vt:lpstr>SCHOOLNAMEEN</vt:lpstr>
      <vt:lpstr>SCHOOLPHONE</vt:lpstr>
      <vt:lpstr>SCHOOLTR</vt:lpstr>
      <vt:lpstr>SCHOOLTRANSLATION</vt:lpstr>
      <vt:lpstr>SCHOOLVN</vt:lpstr>
      <vt:lpstr>SPONSORADDRESS1</vt:lpstr>
      <vt:lpstr>SPONSORADDRESS2</vt:lpstr>
      <vt:lpstr>SPONSORAGE</vt:lpstr>
      <vt:lpstr>SPONSORCN</vt:lpstr>
      <vt:lpstr>SPONSORCONVERSION</vt:lpstr>
      <vt:lpstr>SPONSORCOUNTRY</vt:lpstr>
      <vt:lpstr>SPONSORDOB</vt:lpstr>
      <vt:lpstr>SPONSOREN</vt:lpstr>
      <vt:lpstr>SPONSORHOME</vt:lpstr>
      <vt:lpstr>SPONSORINCOME</vt:lpstr>
      <vt:lpstr>SPONSORINFO</vt:lpstr>
      <vt:lpstr>SPONSORJOB</vt:lpstr>
      <vt:lpstr>SPONSORJP</vt:lpstr>
      <vt:lpstr>SPONSORKR</vt:lpstr>
      <vt:lpstr>SPONSORNAME</vt:lpstr>
      <vt:lpstr>SPONSORPHONE1</vt:lpstr>
      <vt:lpstr>SPONSORPHONE2</vt:lpstr>
      <vt:lpstr>SPONSORRELATIONSHIP</vt:lpstr>
      <vt:lpstr>SPONSORTR</vt:lpstr>
      <vt:lpstr>SPONSORTRANSLATION</vt:lpstr>
      <vt:lpstr>SPONSORVN</vt:lpstr>
      <vt:lpstr>SPONSORWORKPHONE</vt:lpstr>
      <vt:lpstr>STATUSCN</vt:lpstr>
      <vt:lpstr>STATUSEN</vt:lpstr>
      <vt:lpstr>STATUSJP</vt:lpstr>
      <vt:lpstr>STATUSKR</vt:lpstr>
      <vt:lpstr>STATUSTR</vt:lpstr>
      <vt:lpstr>STATUSTRANSLATION</vt:lpstr>
      <vt:lpstr>STATUSVN</vt:lpstr>
      <vt:lpstr>STUDENTADDRESS1</vt:lpstr>
      <vt:lpstr>STUDENTADDRESS2</vt:lpstr>
      <vt:lpstr>STUDENTAGE</vt:lpstr>
      <vt:lpstr>STUDENTBIRTHPLACE</vt:lpstr>
      <vt:lpstr>STUDENTDOB</vt:lpstr>
      <vt:lpstr>STUDENTGENDER</vt:lpstr>
      <vt:lpstr>STUDENTINFO</vt:lpstr>
      <vt:lpstr>STUDENTNAME</vt:lpstr>
      <vt:lpstr>STUDENTNAMECH</vt:lpstr>
      <vt:lpstr>STUDENTNAMEEN</vt:lpstr>
      <vt:lpstr>SUPPORTREASON1</vt:lpstr>
      <vt:lpstr>SUPPORTREASON2</vt:lpstr>
      <vt:lpstr>TESTS</vt:lpstr>
      <vt:lpstr>TESTSCN</vt:lpstr>
      <vt:lpstr>TESTSEN</vt:lpstr>
      <vt:lpstr>TESTSJP</vt:lpstr>
      <vt:lpstr>TESTSKR</vt:lpstr>
      <vt:lpstr>TESTSTR</vt:lpstr>
      <vt:lpstr>TESTSVN</vt:lpstr>
      <vt:lpstr>TRANSLATION</vt:lpstr>
      <vt:lpstr>VARIABLES</vt:lpstr>
      <vt:lpstr>VISACN</vt:lpstr>
      <vt:lpstr>VISAEN</vt:lpstr>
      <vt:lpstr>VISAJP</vt:lpstr>
      <vt:lpstr>VISAKR</vt:lpstr>
      <vt:lpstr>VISATR</vt:lpstr>
      <vt:lpstr>VISATRANSLATION</vt:lpstr>
      <vt:lpstr>VISAVN</vt:lpstr>
      <vt:lpstr>WORKINFO</vt:lpstr>
      <vt:lpstr>YEARS</vt:lpstr>
      <vt:lpstr>YEARS2</vt:lpstr>
      <vt:lpstr>YEARS3</vt:lpstr>
      <vt:lpstr>YESNOCHANGE</vt:lpstr>
      <vt:lpstr>YESNOCN</vt:lpstr>
      <vt:lpstr>YESNOCONVERSION</vt:lpstr>
      <vt:lpstr>YESNOEN</vt:lpstr>
      <vt:lpstr>YESNOJP</vt:lpstr>
      <vt:lpstr>YESNOKR</vt:lpstr>
      <vt:lpstr>YESNOTR</vt:lpstr>
      <vt:lpstr>YESNOTRANSLATION</vt:lpstr>
      <vt:lpstr>YESNOVN</vt:lpstr>
    </vt:vector>
  </TitlesOfParts>
  <Manager>Ben Merritt</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 Form</dc:title>
  <dc:creator>Ben Merritt</dc:creator>
  <cp:keywords>Application Form</cp:keywords>
  <cp:lastModifiedBy>Shinwa Academy</cp:lastModifiedBy>
  <cp:lastPrinted>2022-06-07T03:36:47Z</cp:lastPrinted>
  <dcterms:created xsi:type="dcterms:W3CDTF">2017-06-15T04:08:00Z</dcterms:created>
  <dcterms:modified xsi:type="dcterms:W3CDTF">2025-02-04T06:09:12Z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44F2D75BDF4B49719C5CB10BF4C9BC97</vt:lpwstr>
  </property>
</Properties>
</file>